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7-2018 Board Pkt\October 9, 2017\"/>
    </mc:Choice>
  </mc:AlternateContent>
  <bookViews>
    <workbookView xWindow="480" yWindow="60" windowWidth="7500" windowHeight="4785"/>
  </bookViews>
  <sheets>
    <sheet name="FUND BALANCE 17-18" sheetId="13" r:id="rId1"/>
    <sheet name="FUND BALANCE 16-17" sheetId="12" r:id="rId2"/>
    <sheet name="FUND BALANCE 15-16" sheetId="11" r:id="rId3"/>
    <sheet name="FUND BALANCE 14-15" sheetId="10" r:id="rId4"/>
    <sheet name="FUND BALANCE 13-14" sheetId="9" r:id="rId5"/>
    <sheet name="FUND BALANCE 12-13" sheetId="8" r:id="rId6"/>
    <sheet name="FUND BALANCE 11-12" sheetId="7" r:id="rId7"/>
    <sheet name="FUND BALANCE 10-11" sheetId="6" r:id="rId8"/>
    <sheet name="FUND BALANCE 09-10" sheetId="5" r:id="rId9"/>
    <sheet name="FUND BALANCE 08-09" sheetId="4" r:id="rId10"/>
    <sheet name="FUND BALANCE 07-08" sheetId="1" r:id="rId11"/>
    <sheet name="DATA " sheetId="2" r:id="rId12"/>
    <sheet name="GRAPHS" sheetId="3" r:id="rId13"/>
  </sheets>
  <calcPr calcId="152511"/>
</workbook>
</file>

<file path=xl/calcChain.xml><?xml version="1.0" encoding="utf-8"?>
<calcChain xmlns="http://schemas.openxmlformats.org/spreadsheetml/2006/main">
  <c r="L17" i="13" l="1"/>
  <c r="F17" i="13"/>
  <c r="B17" i="13"/>
  <c r="N70" i="13" l="1"/>
  <c r="N71" i="13" s="1"/>
  <c r="L70" i="13"/>
  <c r="L71" i="13" s="1"/>
  <c r="J70" i="13"/>
  <c r="J71" i="13"/>
  <c r="H70" i="13"/>
  <c r="H71" i="13"/>
  <c r="F70" i="13"/>
  <c r="F71" i="13" s="1"/>
  <c r="D70" i="13"/>
  <c r="D71" i="13"/>
  <c r="B70" i="13"/>
  <c r="B71" i="13" s="1"/>
  <c r="N67" i="13"/>
  <c r="L67" i="13"/>
  <c r="J67" i="13"/>
  <c r="H67" i="13"/>
  <c r="F67" i="13"/>
  <c r="D67" i="13"/>
  <c r="B67" i="13"/>
  <c r="N39" i="13"/>
  <c r="L39" i="13"/>
  <c r="J39" i="13"/>
  <c r="H39" i="13"/>
  <c r="N44" i="13"/>
  <c r="L44" i="13"/>
  <c r="J44" i="13"/>
  <c r="H44" i="13"/>
  <c r="N49" i="13"/>
  <c r="L49" i="13"/>
  <c r="J49" i="13"/>
  <c r="H49" i="13"/>
  <c r="N54" i="13"/>
  <c r="L54" i="13"/>
  <c r="J54" i="13"/>
  <c r="H54" i="13"/>
  <c r="N59" i="13"/>
  <c r="L59" i="13"/>
  <c r="J59" i="13"/>
  <c r="H59" i="13"/>
  <c r="N64" i="13"/>
  <c r="L64" i="13"/>
  <c r="J64" i="13"/>
  <c r="H64" i="13"/>
  <c r="F64" i="13"/>
  <c r="F59" i="13"/>
  <c r="F54" i="13"/>
  <c r="F49" i="13"/>
  <c r="F44" i="13"/>
  <c r="F39" i="13"/>
  <c r="N32" i="13"/>
  <c r="N27" i="13"/>
  <c r="N22" i="13"/>
  <c r="N17" i="13"/>
  <c r="L32" i="13"/>
  <c r="L27" i="13"/>
  <c r="L22" i="13"/>
  <c r="J32" i="13"/>
  <c r="J27" i="13"/>
  <c r="J22" i="13"/>
  <c r="J17" i="13"/>
  <c r="H32" i="13"/>
  <c r="H27" i="13"/>
  <c r="H22" i="13"/>
  <c r="H17" i="13"/>
  <c r="F32" i="13"/>
  <c r="F27" i="13"/>
  <c r="F22" i="13"/>
  <c r="N11" i="13"/>
  <c r="N6" i="13"/>
  <c r="L11" i="13"/>
  <c r="L6" i="13"/>
  <c r="J11" i="13"/>
  <c r="J6" i="13"/>
  <c r="H11" i="13"/>
  <c r="H6" i="13"/>
  <c r="F11" i="13"/>
  <c r="F6" i="13"/>
  <c r="D64" i="13"/>
  <c r="D59" i="13"/>
  <c r="D54" i="13"/>
  <c r="D49" i="13"/>
  <c r="D44" i="13"/>
  <c r="D39" i="13"/>
  <c r="D32" i="13"/>
  <c r="D27" i="13"/>
  <c r="D22" i="13"/>
  <c r="D17" i="13"/>
  <c r="D11" i="13"/>
  <c r="D6" i="13"/>
  <c r="B64" i="13"/>
  <c r="B59" i="13"/>
  <c r="B54" i="13"/>
  <c r="B49" i="13"/>
  <c r="B44" i="13"/>
  <c r="B39" i="13"/>
  <c r="B32" i="13"/>
  <c r="B27" i="13"/>
  <c r="B22" i="13"/>
  <c r="B11" i="13"/>
  <c r="B6" i="13"/>
  <c r="L53" i="12"/>
  <c r="B38" i="12"/>
  <c r="D38" i="12"/>
  <c r="L38" i="12"/>
  <c r="F38" i="12"/>
  <c r="N69" i="12"/>
  <c r="L69" i="12"/>
  <c r="L31" i="12"/>
  <c r="L70" i="12"/>
  <c r="J69" i="12"/>
  <c r="J31" i="12"/>
  <c r="J70" i="12"/>
  <c r="H69" i="12"/>
  <c r="H31" i="12"/>
  <c r="H70" i="12"/>
  <c r="F69" i="12"/>
  <c r="D69" i="12"/>
  <c r="D31" i="12"/>
  <c r="D70" i="12"/>
  <c r="B69" i="12"/>
  <c r="B31" i="12"/>
  <c r="B70" i="12"/>
  <c r="T64" i="12"/>
  <c r="N63" i="12"/>
  <c r="N66" i="12"/>
  <c r="L63" i="12"/>
  <c r="L66" i="12"/>
  <c r="J63" i="12"/>
  <c r="H63" i="12"/>
  <c r="H66" i="12"/>
  <c r="F63" i="12"/>
  <c r="F66" i="12"/>
  <c r="D63" i="12"/>
  <c r="D66" i="12"/>
  <c r="B63" i="12"/>
  <c r="T61" i="12"/>
  <c r="T60" i="12"/>
  <c r="O60" i="12"/>
  <c r="R60" i="12"/>
  <c r="T59" i="12"/>
  <c r="N58" i="12"/>
  <c r="L58" i="12"/>
  <c r="J58" i="12"/>
  <c r="H58" i="12"/>
  <c r="F58" i="12"/>
  <c r="D58" i="12"/>
  <c r="B58" i="12"/>
  <c r="T56" i="12"/>
  <c r="T55" i="12"/>
  <c r="T54" i="12"/>
  <c r="N53" i="12"/>
  <c r="J53" i="12"/>
  <c r="H53" i="12"/>
  <c r="F53" i="12"/>
  <c r="D53" i="12"/>
  <c r="B53" i="12"/>
  <c r="O52" i="12"/>
  <c r="R52" i="12"/>
  <c r="T51" i="12"/>
  <c r="T50" i="12"/>
  <c r="O50" i="12"/>
  <c r="R50" i="12"/>
  <c r="T49" i="12"/>
  <c r="N48" i="12"/>
  <c r="L48" i="12"/>
  <c r="J48" i="12"/>
  <c r="H48" i="12"/>
  <c r="F48" i="12"/>
  <c r="D48" i="12"/>
  <c r="B48" i="12"/>
  <c r="T46" i="12"/>
  <c r="T45" i="12"/>
  <c r="T44" i="12"/>
  <c r="N43" i="12"/>
  <c r="L43" i="12"/>
  <c r="J43" i="12"/>
  <c r="H43" i="12"/>
  <c r="F43" i="12"/>
  <c r="D43" i="12"/>
  <c r="B43" i="12"/>
  <c r="T41" i="12"/>
  <c r="T40" i="12"/>
  <c r="T39" i="12"/>
  <c r="N38" i="12"/>
  <c r="J38" i="12"/>
  <c r="H38" i="12"/>
  <c r="O35" i="12"/>
  <c r="R35" i="12"/>
  <c r="T35" i="12"/>
  <c r="T33" i="12"/>
  <c r="T32" i="12"/>
  <c r="N31" i="12"/>
  <c r="F31" i="12"/>
  <c r="O28" i="12"/>
  <c r="R28" i="12"/>
  <c r="T29" i="12"/>
  <c r="T28" i="12"/>
  <c r="T27" i="12"/>
  <c r="N26" i="12"/>
  <c r="L26" i="12"/>
  <c r="J26" i="12"/>
  <c r="H26" i="12"/>
  <c r="F26" i="12"/>
  <c r="D26" i="12"/>
  <c r="B26" i="12"/>
  <c r="T24" i="12"/>
  <c r="T23" i="12"/>
  <c r="T22" i="12"/>
  <c r="N21" i="12"/>
  <c r="L21" i="12"/>
  <c r="J21" i="12"/>
  <c r="H21" i="12"/>
  <c r="F21" i="12"/>
  <c r="D21" i="12"/>
  <c r="B21" i="12"/>
  <c r="O19" i="12"/>
  <c r="R19" i="12"/>
  <c r="T19" i="12"/>
  <c r="T18" i="12"/>
  <c r="T17" i="12"/>
  <c r="N16" i="12"/>
  <c r="L16" i="12"/>
  <c r="J16" i="12"/>
  <c r="H16" i="12"/>
  <c r="F16" i="12"/>
  <c r="D16" i="12"/>
  <c r="B16" i="12"/>
  <c r="T14" i="12"/>
  <c r="T13" i="12"/>
  <c r="T12" i="12"/>
  <c r="N11" i="12"/>
  <c r="L11" i="12"/>
  <c r="J11" i="12"/>
  <c r="H11" i="12"/>
  <c r="F11" i="12"/>
  <c r="D11" i="12"/>
  <c r="B11" i="12"/>
  <c r="T9" i="12"/>
  <c r="T8" i="12"/>
  <c r="T7" i="12"/>
  <c r="T70" i="12"/>
  <c r="N6" i="12"/>
  <c r="L6" i="12"/>
  <c r="J6" i="12"/>
  <c r="H6" i="12"/>
  <c r="F6" i="12"/>
  <c r="D6" i="12"/>
  <c r="B6" i="12"/>
  <c r="T4" i="12"/>
  <c r="T67" i="12"/>
  <c r="T3" i="12"/>
  <c r="T66" i="12"/>
  <c r="O9" i="12"/>
  <c r="R9" i="12"/>
  <c r="O10" i="12"/>
  <c r="R10" i="12"/>
  <c r="O4" i="12"/>
  <c r="R4" i="12"/>
  <c r="O62" i="12"/>
  <c r="R62" i="12"/>
  <c r="O53" i="12"/>
  <c r="R53" i="12"/>
  <c r="O51" i="12"/>
  <c r="R51" i="12"/>
  <c r="O36" i="12"/>
  <c r="R36" i="12"/>
  <c r="O31" i="12"/>
  <c r="R31" i="12"/>
  <c r="O14" i="12"/>
  <c r="R14" i="12"/>
  <c r="O15" i="12"/>
  <c r="R15" i="12"/>
  <c r="O8" i="12"/>
  <c r="R8" i="12"/>
  <c r="O11" i="12"/>
  <c r="R11" i="12"/>
  <c r="O5" i="12"/>
  <c r="R5" i="12"/>
  <c r="O7" i="12"/>
  <c r="R7" i="12"/>
  <c r="O17" i="12"/>
  <c r="R17" i="12"/>
  <c r="O39" i="12"/>
  <c r="R39" i="12"/>
  <c r="O3" i="12"/>
  <c r="R3" i="12"/>
  <c r="O6" i="12"/>
  <c r="R6" i="12"/>
  <c r="O12" i="12"/>
  <c r="R12" i="12"/>
  <c r="O13" i="12"/>
  <c r="R13" i="12"/>
  <c r="O16" i="12"/>
  <c r="R16" i="12"/>
  <c r="O33" i="12"/>
  <c r="R33" i="12"/>
  <c r="O38" i="12"/>
  <c r="R38" i="12"/>
  <c r="O54" i="12"/>
  <c r="R54" i="12"/>
  <c r="O61" i="12"/>
  <c r="R61" i="12"/>
  <c r="B66" i="12"/>
  <c r="O64" i="12"/>
  <c r="R64" i="12"/>
  <c r="J66" i="12"/>
  <c r="O63" i="12"/>
  <c r="R63" i="12"/>
  <c r="D6" i="11"/>
  <c r="B6" i="11"/>
  <c r="N67" i="11"/>
  <c r="L67" i="11"/>
  <c r="J67" i="11"/>
  <c r="H67" i="11"/>
  <c r="F67" i="11"/>
  <c r="D67" i="11"/>
  <c r="B67" i="11"/>
  <c r="T62" i="11"/>
  <c r="N61" i="11"/>
  <c r="N64" i="11"/>
  <c r="L61" i="11"/>
  <c r="L64" i="11"/>
  <c r="J61" i="11"/>
  <c r="J64" i="11"/>
  <c r="H61" i="11"/>
  <c r="H64" i="11"/>
  <c r="F61" i="11"/>
  <c r="F64" i="11"/>
  <c r="D61" i="11"/>
  <c r="D64" i="11"/>
  <c r="B61" i="11"/>
  <c r="B64" i="11"/>
  <c r="T59" i="11"/>
  <c r="T58" i="11"/>
  <c r="T57" i="11"/>
  <c r="N56" i="11"/>
  <c r="L56" i="11"/>
  <c r="J56" i="11"/>
  <c r="H56" i="11"/>
  <c r="F56" i="11"/>
  <c r="D56" i="11"/>
  <c r="B56" i="11"/>
  <c r="T54" i="11"/>
  <c r="T53" i="11"/>
  <c r="T52" i="11"/>
  <c r="N51" i="11"/>
  <c r="L51" i="11"/>
  <c r="J51" i="11"/>
  <c r="H51" i="11"/>
  <c r="F51" i="11"/>
  <c r="D51" i="11"/>
  <c r="B51" i="11"/>
  <c r="T49" i="11"/>
  <c r="T48" i="11"/>
  <c r="T47" i="11"/>
  <c r="N46" i="11"/>
  <c r="L46" i="11"/>
  <c r="J46" i="11"/>
  <c r="H46" i="11"/>
  <c r="F46" i="11"/>
  <c r="D46" i="11"/>
  <c r="B46" i="11"/>
  <c r="T44" i="11"/>
  <c r="T43" i="11"/>
  <c r="T42" i="11"/>
  <c r="N41" i="11"/>
  <c r="L41" i="11"/>
  <c r="J41" i="11"/>
  <c r="H41" i="11"/>
  <c r="F41" i="11"/>
  <c r="D41" i="11"/>
  <c r="B41" i="11"/>
  <c r="T39" i="11"/>
  <c r="T38" i="11"/>
  <c r="T37" i="11"/>
  <c r="N36" i="11"/>
  <c r="L36" i="11"/>
  <c r="J36" i="11"/>
  <c r="H36" i="11"/>
  <c r="F36" i="11"/>
  <c r="D36" i="11"/>
  <c r="B36" i="11"/>
  <c r="T34" i="11"/>
  <c r="T33" i="11"/>
  <c r="T32" i="11"/>
  <c r="N31" i="11"/>
  <c r="L31" i="11"/>
  <c r="J31" i="11"/>
  <c r="H31" i="11"/>
  <c r="F31" i="11"/>
  <c r="D31" i="11"/>
  <c r="B31" i="11"/>
  <c r="T29" i="11"/>
  <c r="T28" i="11"/>
  <c r="T27" i="11"/>
  <c r="N26" i="11"/>
  <c r="L26" i="11"/>
  <c r="J26" i="11"/>
  <c r="H26" i="11"/>
  <c r="F26" i="11"/>
  <c r="D26" i="11"/>
  <c r="B26" i="11"/>
  <c r="T24" i="11"/>
  <c r="T23" i="11"/>
  <c r="T22" i="11"/>
  <c r="N21" i="11"/>
  <c r="L21" i="11"/>
  <c r="J21" i="11"/>
  <c r="H21" i="11"/>
  <c r="F21" i="11"/>
  <c r="D21" i="11"/>
  <c r="B21" i="11"/>
  <c r="T19" i="11"/>
  <c r="T18" i="11"/>
  <c r="T17" i="11"/>
  <c r="N16" i="11"/>
  <c r="L16" i="11"/>
  <c r="J16" i="11"/>
  <c r="H16" i="11"/>
  <c r="F16" i="11"/>
  <c r="D16" i="11"/>
  <c r="B16" i="11"/>
  <c r="T14" i="11"/>
  <c r="T13" i="11"/>
  <c r="T12" i="11"/>
  <c r="N11" i="11"/>
  <c r="L11" i="11"/>
  <c r="J11" i="11"/>
  <c r="H11" i="11"/>
  <c r="F11" i="11"/>
  <c r="D11" i="11"/>
  <c r="B11" i="11"/>
  <c r="T9" i="11"/>
  <c r="T8" i="11"/>
  <c r="T7" i="11"/>
  <c r="N6" i="11"/>
  <c r="L6" i="11"/>
  <c r="J6" i="11"/>
  <c r="H6" i="11"/>
  <c r="F6" i="11"/>
  <c r="T4" i="11"/>
  <c r="T3" i="11"/>
  <c r="T64" i="11"/>
  <c r="L66" i="1"/>
  <c r="J66" i="1"/>
  <c r="J67" i="1"/>
  <c r="H66" i="1"/>
  <c r="H67" i="1"/>
  <c r="F66" i="1"/>
  <c r="D66" i="1"/>
  <c r="D67" i="1"/>
  <c r="L71" i="4"/>
  <c r="J71" i="4"/>
  <c r="H71" i="4"/>
  <c r="F71" i="4"/>
  <c r="D71" i="4"/>
  <c r="L71" i="5"/>
  <c r="J71" i="5"/>
  <c r="H71" i="5"/>
  <c r="F71" i="5"/>
  <c r="D71" i="5"/>
  <c r="N71" i="6"/>
  <c r="L71" i="6"/>
  <c r="L72" i="6"/>
  <c r="J71" i="6"/>
  <c r="J72" i="6"/>
  <c r="H71" i="6"/>
  <c r="H72" i="6"/>
  <c r="F71" i="6"/>
  <c r="D71" i="6"/>
  <c r="D72" i="6"/>
  <c r="P73" i="7"/>
  <c r="N73" i="7"/>
  <c r="L73" i="7"/>
  <c r="J73" i="7"/>
  <c r="H73" i="7"/>
  <c r="F73" i="7"/>
  <c r="D73" i="7"/>
  <c r="N72" i="8"/>
  <c r="L72" i="8"/>
  <c r="J72" i="8"/>
  <c r="H72" i="8"/>
  <c r="F72" i="8"/>
  <c r="D72" i="8"/>
  <c r="N69" i="10"/>
  <c r="L69" i="10"/>
  <c r="J69" i="10"/>
  <c r="H69" i="10"/>
  <c r="F69" i="10"/>
  <c r="D69" i="10"/>
  <c r="B69" i="10"/>
  <c r="B71" i="6"/>
  <c r="B71" i="5"/>
  <c r="B66" i="1"/>
  <c r="B71" i="4"/>
  <c r="O54" i="11"/>
  <c r="R54" i="11"/>
  <c r="D74" i="7"/>
  <c r="F72" i="6"/>
  <c r="O52" i="11"/>
  <c r="R52" i="11"/>
  <c r="O44" i="11"/>
  <c r="R44" i="11"/>
  <c r="O34" i="11"/>
  <c r="R34" i="11"/>
  <c r="O32" i="11"/>
  <c r="R32" i="11"/>
  <c r="O24" i="11"/>
  <c r="R24" i="11"/>
  <c r="O19" i="11"/>
  <c r="R19" i="11"/>
  <c r="O14" i="11"/>
  <c r="R14" i="11"/>
  <c r="O4" i="11"/>
  <c r="R4" i="11"/>
  <c r="T65" i="11"/>
  <c r="T68" i="11"/>
  <c r="O12" i="11"/>
  <c r="R12" i="11"/>
  <c r="B68" i="11"/>
  <c r="F68" i="11"/>
  <c r="J68" i="11"/>
  <c r="N68" i="11"/>
  <c r="O42" i="11"/>
  <c r="R42" i="11"/>
  <c r="O59" i="11"/>
  <c r="R59" i="11"/>
  <c r="O57" i="11"/>
  <c r="R57" i="11"/>
  <c r="O56" i="11"/>
  <c r="R56" i="11"/>
  <c r="O51" i="11"/>
  <c r="R51" i="11"/>
  <c r="O49" i="11"/>
  <c r="R49" i="11"/>
  <c r="O47" i="11"/>
  <c r="R47" i="11"/>
  <c r="O46" i="11"/>
  <c r="R46" i="11"/>
  <c r="O39" i="11"/>
  <c r="R39" i="11"/>
  <c r="O41" i="11"/>
  <c r="R41" i="11"/>
  <c r="O37" i="11"/>
  <c r="R37" i="11"/>
  <c r="O36" i="11"/>
  <c r="R36" i="11"/>
  <c r="O29" i="11"/>
  <c r="R29" i="11"/>
  <c r="O31" i="11"/>
  <c r="R31" i="11"/>
  <c r="O27" i="11"/>
  <c r="R27" i="11"/>
  <c r="O26" i="11"/>
  <c r="R26" i="11"/>
  <c r="O20" i="11"/>
  <c r="R20" i="11"/>
  <c r="O21" i="11"/>
  <c r="R21" i="11"/>
  <c r="O15" i="11"/>
  <c r="R15" i="11"/>
  <c r="O16" i="11"/>
  <c r="R16" i="11"/>
  <c r="L68" i="11"/>
  <c r="O9" i="11"/>
  <c r="R9" i="11"/>
  <c r="O11" i="11"/>
  <c r="R11" i="11"/>
  <c r="O7" i="11"/>
  <c r="R7" i="11"/>
  <c r="O6" i="11"/>
  <c r="R6" i="11"/>
  <c r="O17" i="11"/>
  <c r="R17" i="11"/>
  <c r="O22" i="11"/>
  <c r="R22" i="11"/>
  <c r="O3" i="11"/>
  <c r="R3" i="11"/>
  <c r="O5" i="11"/>
  <c r="R5" i="11"/>
  <c r="O8" i="11"/>
  <c r="R8" i="11"/>
  <c r="O10" i="11"/>
  <c r="R10" i="11"/>
  <c r="O13" i="11"/>
  <c r="R13" i="11"/>
  <c r="O18" i="11"/>
  <c r="R18" i="11"/>
  <c r="O23" i="11"/>
  <c r="R23" i="11"/>
  <c r="O25" i="11"/>
  <c r="R25" i="11"/>
  <c r="O28" i="11"/>
  <c r="R28" i="11"/>
  <c r="O30" i="11"/>
  <c r="R30" i="11"/>
  <c r="O33" i="11"/>
  <c r="R33" i="11"/>
  <c r="O35" i="11"/>
  <c r="R35" i="11"/>
  <c r="O38" i="11"/>
  <c r="R38" i="11"/>
  <c r="O40" i="11"/>
  <c r="R40" i="11"/>
  <c r="O43" i="11"/>
  <c r="R43" i="11"/>
  <c r="O45" i="11"/>
  <c r="R45" i="11"/>
  <c r="O48" i="11"/>
  <c r="R48" i="11"/>
  <c r="O50" i="11"/>
  <c r="R50" i="11"/>
  <c r="O53" i="11"/>
  <c r="R53" i="11"/>
  <c r="O55" i="11"/>
  <c r="R55" i="11"/>
  <c r="O58" i="11"/>
  <c r="R58" i="11"/>
  <c r="O60" i="11"/>
  <c r="R60" i="11"/>
  <c r="D68" i="11"/>
  <c r="H68" i="11"/>
  <c r="O61" i="11"/>
  <c r="R61" i="11"/>
  <c r="O62" i="11"/>
  <c r="R62" i="11"/>
  <c r="B73" i="7"/>
  <c r="B74" i="7"/>
  <c r="B72" i="8"/>
  <c r="D7" i="10"/>
  <c r="B7" i="10"/>
  <c r="T63" i="10"/>
  <c r="N62" i="10"/>
  <c r="N66" i="10"/>
  <c r="L62" i="10"/>
  <c r="L66" i="10"/>
  <c r="J62" i="10"/>
  <c r="H62" i="10"/>
  <c r="H66" i="10"/>
  <c r="F62" i="10"/>
  <c r="F66" i="10"/>
  <c r="D62" i="10"/>
  <c r="D66" i="10"/>
  <c r="B62" i="10"/>
  <c r="T60" i="10"/>
  <c r="T59" i="10"/>
  <c r="T58" i="10"/>
  <c r="N57" i="10"/>
  <c r="L57" i="10"/>
  <c r="J57" i="10"/>
  <c r="H57" i="10"/>
  <c r="F57" i="10"/>
  <c r="D57" i="10"/>
  <c r="B57" i="10"/>
  <c r="T55" i="10"/>
  <c r="T54" i="10"/>
  <c r="T53" i="10"/>
  <c r="N52" i="10"/>
  <c r="L52" i="10"/>
  <c r="J52" i="10"/>
  <c r="H52" i="10"/>
  <c r="F52" i="10"/>
  <c r="D52" i="10"/>
  <c r="B52" i="10"/>
  <c r="O51" i="10"/>
  <c r="R51" i="10"/>
  <c r="T50" i="10"/>
  <c r="T49" i="10"/>
  <c r="T48" i="10"/>
  <c r="N47" i="10"/>
  <c r="L47" i="10"/>
  <c r="J47" i="10"/>
  <c r="H47" i="10"/>
  <c r="F47" i="10"/>
  <c r="D47" i="10"/>
  <c r="B47" i="10"/>
  <c r="T45" i="10"/>
  <c r="T44" i="10"/>
  <c r="T43" i="10"/>
  <c r="N42" i="10"/>
  <c r="L42" i="10"/>
  <c r="J42" i="10"/>
  <c r="H42" i="10"/>
  <c r="F42" i="10"/>
  <c r="D42" i="10"/>
  <c r="B42" i="10"/>
  <c r="T40" i="10"/>
  <c r="T39" i="10"/>
  <c r="T38" i="10"/>
  <c r="N37" i="10"/>
  <c r="L37" i="10"/>
  <c r="J37" i="10"/>
  <c r="H37" i="10"/>
  <c r="F37" i="10"/>
  <c r="D37" i="10"/>
  <c r="B37" i="10"/>
  <c r="T35" i="10"/>
  <c r="T34" i="10"/>
  <c r="T33" i="10"/>
  <c r="N32" i="10"/>
  <c r="N70" i="10"/>
  <c r="L32" i="10"/>
  <c r="L70" i="10"/>
  <c r="J32" i="10"/>
  <c r="J70" i="10"/>
  <c r="H32" i="10"/>
  <c r="H70" i="10"/>
  <c r="F32" i="10"/>
  <c r="F70" i="10"/>
  <c r="D32" i="10"/>
  <c r="D70" i="10"/>
  <c r="B32" i="10"/>
  <c r="B70" i="10"/>
  <c r="T30" i="10"/>
  <c r="T29" i="10"/>
  <c r="T28" i="10"/>
  <c r="N27" i="10"/>
  <c r="L27" i="10"/>
  <c r="J27" i="10"/>
  <c r="H27" i="10"/>
  <c r="F27" i="10"/>
  <c r="D27" i="10"/>
  <c r="B27" i="10"/>
  <c r="T25" i="10"/>
  <c r="T24" i="10"/>
  <c r="T23" i="10"/>
  <c r="N22" i="10"/>
  <c r="L22" i="10"/>
  <c r="J22" i="10"/>
  <c r="H22" i="10"/>
  <c r="F22" i="10"/>
  <c r="D22" i="10"/>
  <c r="B22" i="10"/>
  <c r="T20" i="10"/>
  <c r="T19" i="10"/>
  <c r="T18" i="10"/>
  <c r="N17" i="10"/>
  <c r="L17" i="10"/>
  <c r="J17" i="10"/>
  <c r="H17" i="10"/>
  <c r="F17" i="10"/>
  <c r="D17" i="10"/>
  <c r="B17" i="10"/>
  <c r="T15" i="10"/>
  <c r="T14" i="10"/>
  <c r="T13" i="10"/>
  <c r="N12" i="10"/>
  <c r="L12" i="10"/>
  <c r="J12" i="10"/>
  <c r="H12" i="10"/>
  <c r="F12" i="10"/>
  <c r="D12" i="10"/>
  <c r="B12" i="10"/>
  <c r="T10" i="10"/>
  <c r="T9" i="10"/>
  <c r="T8" i="10"/>
  <c r="N7" i="10"/>
  <c r="L7" i="10"/>
  <c r="J7" i="10"/>
  <c r="H7" i="10"/>
  <c r="F7" i="10"/>
  <c r="T5" i="10"/>
  <c r="T3" i="10"/>
  <c r="F36" i="9"/>
  <c r="B36" i="9"/>
  <c r="T62" i="9"/>
  <c r="N61" i="9"/>
  <c r="N65" i="9"/>
  <c r="L61" i="9"/>
  <c r="L65" i="9"/>
  <c r="J61" i="9"/>
  <c r="H61" i="9"/>
  <c r="H65" i="9"/>
  <c r="F61" i="9"/>
  <c r="F65" i="9"/>
  <c r="D61" i="9"/>
  <c r="D65" i="9"/>
  <c r="B61" i="9"/>
  <c r="T59" i="9"/>
  <c r="T58" i="9"/>
  <c r="T57" i="9"/>
  <c r="N56" i="9"/>
  <c r="L56" i="9"/>
  <c r="J56" i="9"/>
  <c r="H56" i="9"/>
  <c r="F56" i="9"/>
  <c r="D56" i="9"/>
  <c r="B56" i="9"/>
  <c r="T54" i="9"/>
  <c r="T53" i="9"/>
  <c r="T52" i="9"/>
  <c r="N51" i="9"/>
  <c r="L51" i="9"/>
  <c r="J51" i="9"/>
  <c r="H51" i="9"/>
  <c r="F51" i="9"/>
  <c r="D51" i="9"/>
  <c r="B51" i="9"/>
  <c r="T49" i="9"/>
  <c r="T48" i="9"/>
  <c r="T47" i="9"/>
  <c r="N46" i="9"/>
  <c r="L46" i="9"/>
  <c r="J46" i="9"/>
  <c r="H46" i="9"/>
  <c r="F46" i="9"/>
  <c r="D46" i="9"/>
  <c r="B46" i="9"/>
  <c r="T44" i="9"/>
  <c r="T43" i="9"/>
  <c r="T42" i="9"/>
  <c r="N41" i="9"/>
  <c r="L41" i="9"/>
  <c r="J41" i="9"/>
  <c r="H41" i="9"/>
  <c r="F41" i="9"/>
  <c r="D41" i="9"/>
  <c r="B41" i="9"/>
  <c r="T39" i="9"/>
  <c r="T38" i="9"/>
  <c r="T37" i="9"/>
  <c r="N36" i="9"/>
  <c r="L36" i="9"/>
  <c r="J36" i="9"/>
  <c r="H36" i="9"/>
  <c r="D36" i="9"/>
  <c r="T34" i="9"/>
  <c r="T33" i="9"/>
  <c r="T32" i="9"/>
  <c r="N31" i="9"/>
  <c r="L31" i="9"/>
  <c r="J31" i="9"/>
  <c r="H31" i="9"/>
  <c r="F31" i="9"/>
  <c r="D31" i="9"/>
  <c r="B31" i="9"/>
  <c r="T29" i="9"/>
  <c r="T28" i="9"/>
  <c r="T27" i="9"/>
  <c r="N26" i="9"/>
  <c r="L26" i="9"/>
  <c r="J26" i="9"/>
  <c r="H26" i="9"/>
  <c r="F26" i="9"/>
  <c r="D26" i="9"/>
  <c r="B26" i="9"/>
  <c r="T24" i="9"/>
  <c r="T23" i="9"/>
  <c r="T22" i="9"/>
  <c r="N21" i="9"/>
  <c r="L21" i="9"/>
  <c r="J21" i="9"/>
  <c r="H21" i="9"/>
  <c r="F21" i="9"/>
  <c r="D21" i="9"/>
  <c r="B21" i="9"/>
  <c r="T19" i="9"/>
  <c r="T18" i="9"/>
  <c r="T17" i="9"/>
  <c r="N16" i="9"/>
  <c r="L16" i="9"/>
  <c r="J16" i="9"/>
  <c r="H16" i="9"/>
  <c r="F16" i="9"/>
  <c r="D16" i="9"/>
  <c r="B16" i="9"/>
  <c r="T14" i="9"/>
  <c r="T13" i="9"/>
  <c r="T12" i="9"/>
  <c r="N11" i="9"/>
  <c r="L11" i="9"/>
  <c r="J11" i="9"/>
  <c r="H11" i="9"/>
  <c r="F11" i="9"/>
  <c r="D11" i="9"/>
  <c r="B11" i="9"/>
  <c r="T9" i="9"/>
  <c r="T8" i="9"/>
  <c r="T7" i="9"/>
  <c r="T69" i="9"/>
  <c r="N6" i="9"/>
  <c r="N68" i="9"/>
  <c r="L6" i="9"/>
  <c r="L68" i="9"/>
  <c r="J6" i="9"/>
  <c r="J68" i="9"/>
  <c r="H6" i="9"/>
  <c r="H68" i="9"/>
  <c r="F6" i="9"/>
  <c r="F68" i="9"/>
  <c r="D6" i="9"/>
  <c r="D68" i="9"/>
  <c r="B6" i="9"/>
  <c r="B68" i="9"/>
  <c r="T4" i="9"/>
  <c r="T66" i="9"/>
  <c r="T3" i="9"/>
  <c r="B52" i="8"/>
  <c r="F37" i="8"/>
  <c r="B37" i="8"/>
  <c r="N52" i="8"/>
  <c r="N47" i="8"/>
  <c r="N42" i="8"/>
  <c r="N37" i="8"/>
  <c r="N31" i="8"/>
  <c r="N26" i="8"/>
  <c r="N21" i="8"/>
  <c r="N16" i="8"/>
  <c r="N11" i="8"/>
  <c r="N6" i="8"/>
  <c r="T63" i="8"/>
  <c r="N62" i="8"/>
  <c r="N69" i="8"/>
  <c r="N73" i="8"/>
  <c r="L62" i="8"/>
  <c r="L69" i="8"/>
  <c r="L73" i="8"/>
  <c r="J62" i="8"/>
  <c r="J69" i="8"/>
  <c r="J73" i="8"/>
  <c r="H62" i="8"/>
  <c r="H69" i="8"/>
  <c r="H73" i="8"/>
  <c r="F62" i="8"/>
  <c r="F69" i="8"/>
  <c r="F73" i="8"/>
  <c r="D62" i="8"/>
  <c r="D69" i="8"/>
  <c r="D73" i="8"/>
  <c r="B62" i="8"/>
  <c r="B69" i="8"/>
  <c r="T60" i="8"/>
  <c r="T59" i="8"/>
  <c r="T58" i="8"/>
  <c r="N57" i="8"/>
  <c r="L57" i="8"/>
  <c r="J57" i="8"/>
  <c r="H57" i="8"/>
  <c r="F57" i="8"/>
  <c r="D57" i="8"/>
  <c r="B57" i="8"/>
  <c r="T55" i="8"/>
  <c r="T54" i="8"/>
  <c r="T53" i="8"/>
  <c r="L52" i="8"/>
  <c r="J52" i="8"/>
  <c r="H52" i="8"/>
  <c r="F52" i="8"/>
  <c r="D52" i="8"/>
  <c r="T50" i="8"/>
  <c r="T49" i="8"/>
  <c r="T48" i="8"/>
  <c r="L47" i="8"/>
  <c r="J47" i="8"/>
  <c r="H47" i="8"/>
  <c r="F47" i="8"/>
  <c r="D47" i="8"/>
  <c r="B47" i="8"/>
  <c r="T45" i="8"/>
  <c r="T44" i="8"/>
  <c r="T43" i="8"/>
  <c r="L42" i="8"/>
  <c r="J42" i="8"/>
  <c r="H42" i="8"/>
  <c r="F42" i="8"/>
  <c r="D42" i="8"/>
  <c r="B42" i="8"/>
  <c r="T40" i="8"/>
  <c r="T39" i="8"/>
  <c r="T38" i="8"/>
  <c r="L37" i="8"/>
  <c r="J37" i="8"/>
  <c r="H37" i="8"/>
  <c r="D37" i="8"/>
  <c r="T34" i="8"/>
  <c r="T33" i="8"/>
  <c r="T32" i="8"/>
  <c r="L31" i="8"/>
  <c r="J31" i="8"/>
  <c r="H31" i="8"/>
  <c r="F31" i="8"/>
  <c r="D31" i="8"/>
  <c r="B31" i="8"/>
  <c r="T29" i="8"/>
  <c r="T28" i="8"/>
  <c r="T27" i="8"/>
  <c r="L26" i="8"/>
  <c r="J26" i="8"/>
  <c r="H26" i="8"/>
  <c r="F26" i="8"/>
  <c r="D26" i="8"/>
  <c r="B26" i="8"/>
  <c r="T24" i="8"/>
  <c r="T23" i="8"/>
  <c r="T22" i="8"/>
  <c r="L21" i="8"/>
  <c r="J21" i="8"/>
  <c r="H21" i="8"/>
  <c r="F21" i="8"/>
  <c r="D21" i="8"/>
  <c r="B21" i="8"/>
  <c r="T19" i="8"/>
  <c r="T18" i="8"/>
  <c r="T17" i="8"/>
  <c r="L16" i="8"/>
  <c r="J16" i="8"/>
  <c r="H16" i="8"/>
  <c r="F16" i="8"/>
  <c r="D16" i="8"/>
  <c r="B16" i="8"/>
  <c r="T14" i="8"/>
  <c r="T13" i="8"/>
  <c r="T12" i="8"/>
  <c r="L11" i="8"/>
  <c r="J11" i="8"/>
  <c r="H11" i="8"/>
  <c r="F11" i="8"/>
  <c r="D11" i="8"/>
  <c r="B11" i="8"/>
  <c r="T9" i="8"/>
  <c r="T8" i="8"/>
  <c r="T7" i="8"/>
  <c r="L6" i="8"/>
  <c r="J6" i="8"/>
  <c r="H6" i="8"/>
  <c r="F6" i="8"/>
  <c r="D6" i="8"/>
  <c r="B6" i="8"/>
  <c r="T4" i="8"/>
  <c r="T3" i="8"/>
  <c r="J69" i="7"/>
  <c r="J74" i="7"/>
  <c r="D69" i="7"/>
  <c r="P62" i="7"/>
  <c r="P69" i="7"/>
  <c r="P74" i="7"/>
  <c r="P57" i="7"/>
  <c r="B52" i="7"/>
  <c r="L16" i="7"/>
  <c r="L11" i="7"/>
  <c r="L6" i="7"/>
  <c r="V63" i="7"/>
  <c r="N62" i="7"/>
  <c r="N69" i="7"/>
  <c r="N74" i="7"/>
  <c r="L62" i="7"/>
  <c r="L69" i="7"/>
  <c r="L74" i="7"/>
  <c r="J62" i="7"/>
  <c r="H62" i="7"/>
  <c r="H69" i="7"/>
  <c r="H74" i="7"/>
  <c r="F62" i="7"/>
  <c r="F69" i="7"/>
  <c r="F74" i="7"/>
  <c r="D62" i="7"/>
  <c r="B62" i="7"/>
  <c r="B69" i="7"/>
  <c r="V60" i="7"/>
  <c r="V59" i="7"/>
  <c r="V58" i="7"/>
  <c r="N57" i="7"/>
  <c r="L57" i="7"/>
  <c r="J57" i="7"/>
  <c r="H57" i="7"/>
  <c r="F57" i="7"/>
  <c r="D57" i="7"/>
  <c r="B57" i="7"/>
  <c r="V55" i="7"/>
  <c r="V54" i="7"/>
  <c r="V53" i="7"/>
  <c r="N52" i="7"/>
  <c r="L52" i="7"/>
  <c r="J52" i="7"/>
  <c r="H52" i="7"/>
  <c r="F52" i="7"/>
  <c r="D52" i="7"/>
  <c r="V49" i="7"/>
  <c r="V48" i="7"/>
  <c r="V47" i="7"/>
  <c r="N46" i="7"/>
  <c r="L46" i="7"/>
  <c r="J46" i="7"/>
  <c r="H46" i="7"/>
  <c r="F46" i="7"/>
  <c r="D46" i="7"/>
  <c r="B46" i="7"/>
  <c r="V44" i="7"/>
  <c r="V43" i="7"/>
  <c r="V42" i="7"/>
  <c r="N41" i="7"/>
  <c r="L41" i="7"/>
  <c r="J41" i="7"/>
  <c r="H41" i="7"/>
  <c r="F41" i="7"/>
  <c r="D41" i="7"/>
  <c r="B41" i="7"/>
  <c r="V39" i="7"/>
  <c r="V38" i="7"/>
  <c r="V37" i="7"/>
  <c r="N36" i="7"/>
  <c r="L36" i="7"/>
  <c r="J36" i="7"/>
  <c r="H36" i="7"/>
  <c r="F36" i="7"/>
  <c r="D36" i="7"/>
  <c r="B36" i="7"/>
  <c r="V34" i="7"/>
  <c r="V33" i="7"/>
  <c r="V32" i="7"/>
  <c r="N31" i="7"/>
  <c r="L31" i="7"/>
  <c r="J31" i="7"/>
  <c r="H31" i="7"/>
  <c r="F31" i="7"/>
  <c r="D31" i="7"/>
  <c r="B31" i="7"/>
  <c r="V29" i="7"/>
  <c r="V28" i="7"/>
  <c r="V27" i="7"/>
  <c r="N26" i="7"/>
  <c r="L26" i="7"/>
  <c r="J26" i="7"/>
  <c r="H26" i="7"/>
  <c r="F26" i="7"/>
  <c r="D26" i="7"/>
  <c r="B26" i="7"/>
  <c r="V24" i="7"/>
  <c r="V23" i="7"/>
  <c r="V22" i="7"/>
  <c r="N21" i="7"/>
  <c r="L21" i="7"/>
  <c r="J21" i="7"/>
  <c r="H21" i="7"/>
  <c r="F21" i="7"/>
  <c r="D21" i="7"/>
  <c r="B21" i="7"/>
  <c r="V19" i="7"/>
  <c r="V18" i="7"/>
  <c r="V17" i="7"/>
  <c r="N16" i="7"/>
  <c r="J16" i="7"/>
  <c r="H16" i="7"/>
  <c r="F16" i="7"/>
  <c r="D16" i="7"/>
  <c r="B16" i="7"/>
  <c r="V14" i="7"/>
  <c r="V13" i="7"/>
  <c r="V12" i="7"/>
  <c r="N11" i="7"/>
  <c r="J11" i="7"/>
  <c r="H11" i="7"/>
  <c r="F11" i="7"/>
  <c r="D11" i="7"/>
  <c r="B11" i="7"/>
  <c r="V9" i="7"/>
  <c r="V8" i="7"/>
  <c r="V7" i="7"/>
  <c r="N6" i="7"/>
  <c r="J6" i="7"/>
  <c r="H6" i="7"/>
  <c r="F6" i="7"/>
  <c r="D6" i="7"/>
  <c r="B6" i="7"/>
  <c r="V4" i="7"/>
  <c r="V3" i="7"/>
  <c r="U68" i="6"/>
  <c r="U62" i="6"/>
  <c r="U57" i="6"/>
  <c r="U52" i="6"/>
  <c r="U47" i="6"/>
  <c r="U42" i="6"/>
  <c r="U37" i="6"/>
  <c r="U32" i="6"/>
  <c r="U27" i="6"/>
  <c r="U22" i="6"/>
  <c r="U17" i="6"/>
  <c r="U12" i="6"/>
  <c r="U7" i="6"/>
  <c r="U72" i="6"/>
  <c r="U59" i="6"/>
  <c r="U54" i="6"/>
  <c r="U49" i="6"/>
  <c r="U44" i="6"/>
  <c r="U39" i="6"/>
  <c r="U34" i="6"/>
  <c r="U29" i="6"/>
  <c r="U24" i="6"/>
  <c r="U19" i="6"/>
  <c r="U14" i="6"/>
  <c r="U9" i="6"/>
  <c r="U4" i="6"/>
  <c r="U69" i="6"/>
  <c r="U58" i="6"/>
  <c r="U53" i="6"/>
  <c r="U48" i="6"/>
  <c r="U43" i="6"/>
  <c r="U38" i="6"/>
  <c r="U33" i="6"/>
  <c r="U28" i="6"/>
  <c r="U23" i="6"/>
  <c r="U18" i="6"/>
  <c r="U13" i="6"/>
  <c r="U8" i="6"/>
  <c r="U3" i="6"/>
  <c r="S49" i="6"/>
  <c r="S25" i="6"/>
  <c r="L61" i="6"/>
  <c r="L56" i="6"/>
  <c r="L51" i="6"/>
  <c r="L46" i="6"/>
  <c r="L41" i="6"/>
  <c r="L36" i="6"/>
  <c r="L31" i="6"/>
  <c r="L26" i="6"/>
  <c r="L21" i="6"/>
  <c r="B11" i="6"/>
  <c r="P7" i="6"/>
  <c r="S7" i="6"/>
  <c r="N61" i="6"/>
  <c r="N68" i="6"/>
  <c r="N72" i="6"/>
  <c r="J61" i="6"/>
  <c r="H61" i="6"/>
  <c r="F61" i="6"/>
  <c r="F68" i="6"/>
  <c r="D61" i="6"/>
  <c r="B61" i="6"/>
  <c r="B68" i="6"/>
  <c r="B72" i="6"/>
  <c r="N56" i="6"/>
  <c r="J56" i="6"/>
  <c r="H56" i="6"/>
  <c r="H51" i="6"/>
  <c r="J51" i="6"/>
  <c r="N51" i="6"/>
  <c r="N46" i="6"/>
  <c r="J46" i="6"/>
  <c r="H46" i="6"/>
  <c r="F46" i="6"/>
  <c r="F51" i="6"/>
  <c r="F56" i="6"/>
  <c r="D56" i="6"/>
  <c r="D51" i="6"/>
  <c r="D46" i="6"/>
  <c r="N11" i="6"/>
  <c r="J11" i="6"/>
  <c r="N16" i="6"/>
  <c r="J16" i="6"/>
  <c r="N21" i="6"/>
  <c r="J21" i="6"/>
  <c r="N26" i="6"/>
  <c r="J26" i="6"/>
  <c r="N31" i="6"/>
  <c r="J31" i="6"/>
  <c r="N36" i="6"/>
  <c r="J36" i="6"/>
  <c r="N41" i="6"/>
  <c r="J41" i="6"/>
  <c r="H41" i="6"/>
  <c r="H36" i="6"/>
  <c r="H31" i="6"/>
  <c r="H26" i="6"/>
  <c r="H21" i="6"/>
  <c r="H16" i="6"/>
  <c r="H11" i="6"/>
  <c r="F41" i="6"/>
  <c r="F36" i="6"/>
  <c r="F31" i="6"/>
  <c r="F26" i="6"/>
  <c r="F21" i="6"/>
  <c r="F16" i="6"/>
  <c r="F11" i="6"/>
  <c r="D41" i="6"/>
  <c r="D36" i="6"/>
  <c r="D31" i="6"/>
  <c r="D26" i="6"/>
  <c r="D21" i="6"/>
  <c r="D16" i="6"/>
  <c r="D11" i="6"/>
  <c r="P12" i="6"/>
  <c r="S12" i="6"/>
  <c r="B56" i="6"/>
  <c r="B51" i="6"/>
  <c r="B46" i="6"/>
  <c r="B41" i="6"/>
  <c r="B36" i="6"/>
  <c r="B31" i="6"/>
  <c r="B26" i="6"/>
  <c r="B21" i="6"/>
  <c r="B16" i="6"/>
  <c r="N6" i="6"/>
  <c r="J6" i="6"/>
  <c r="H6" i="6"/>
  <c r="F6" i="6"/>
  <c r="D6" i="6"/>
  <c r="B6" i="6"/>
  <c r="L41" i="5"/>
  <c r="F6" i="5"/>
  <c r="N5" i="5"/>
  <c r="Q5" i="5"/>
  <c r="B6" i="5"/>
  <c r="N3" i="5"/>
  <c r="Q3" i="5"/>
  <c r="K74" i="5"/>
  <c r="I74" i="5"/>
  <c r="G74" i="5"/>
  <c r="K68" i="5"/>
  <c r="I68" i="5"/>
  <c r="G68" i="5"/>
  <c r="S62" i="5"/>
  <c r="L61" i="5"/>
  <c r="L68" i="5"/>
  <c r="L72" i="5"/>
  <c r="J61" i="5"/>
  <c r="H61" i="5"/>
  <c r="F61" i="5"/>
  <c r="F68" i="5"/>
  <c r="F72" i="5"/>
  <c r="N60" i="5"/>
  <c r="Q60" i="5"/>
  <c r="D61" i="5"/>
  <c r="N59" i="5"/>
  <c r="Q59" i="5"/>
  <c r="D68" i="5"/>
  <c r="D72" i="5"/>
  <c r="B61" i="5"/>
  <c r="B68" i="5"/>
  <c r="S59" i="5"/>
  <c r="S58" i="5"/>
  <c r="S57" i="5"/>
  <c r="L56" i="5"/>
  <c r="J56" i="5"/>
  <c r="N57" i="5"/>
  <c r="Q57" i="5"/>
  <c r="H56" i="5"/>
  <c r="N56" i="5"/>
  <c r="Q56" i="5"/>
  <c r="F56" i="5"/>
  <c r="N55" i="5"/>
  <c r="Q55" i="5"/>
  <c r="D56" i="5"/>
  <c r="N54" i="5"/>
  <c r="Q54" i="5"/>
  <c r="B56" i="5"/>
  <c r="N53" i="5"/>
  <c r="Q53" i="5"/>
  <c r="S54" i="5"/>
  <c r="S53" i="5"/>
  <c r="S52" i="5"/>
  <c r="L51" i="5"/>
  <c r="J51" i="5"/>
  <c r="N52" i="5"/>
  <c r="Q52" i="5"/>
  <c r="H51" i="5"/>
  <c r="N51" i="5"/>
  <c r="Q51" i="5"/>
  <c r="F51" i="5"/>
  <c r="N50" i="5"/>
  <c r="Q50" i="5"/>
  <c r="D51" i="5"/>
  <c r="N49" i="5"/>
  <c r="Q49" i="5"/>
  <c r="B51" i="5"/>
  <c r="N48" i="5"/>
  <c r="Q48" i="5"/>
  <c r="S49" i="5"/>
  <c r="S48" i="5"/>
  <c r="S47" i="5"/>
  <c r="L46" i="5"/>
  <c r="J46" i="5"/>
  <c r="N47" i="5"/>
  <c r="Q47" i="5"/>
  <c r="H46" i="5"/>
  <c r="N46" i="5"/>
  <c r="Q46" i="5"/>
  <c r="F46" i="5"/>
  <c r="N45" i="5"/>
  <c r="Q45" i="5"/>
  <c r="D46" i="5"/>
  <c r="N44" i="5"/>
  <c r="Q44" i="5"/>
  <c r="B46" i="5"/>
  <c r="N43" i="5"/>
  <c r="Q43" i="5"/>
  <c r="S44" i="5"/>
  <c r="S43" i="5"/>
  <c r="S42" i="5"/>
  <c r="J41" i="5"/>
  <c r="N42" i="5"/>
  <c r="Q42" i="5"/>
  <c r="H41" i="5"/>
  <c r="N41" i="5"/>
  <c r="Q41" i="5"/>
  <c r="F41" i="5"/>
  <c r="N40" i="5"/>
  <c r="Q40" i="5"/>
  <c r="D41" i="5"/>
  <c r="N39" i="5"/>
  <c r="Q39" i="5"/>
  <c r="B41" i="5"/>
  <c r="N38" i="5"/>
  <c r="Q38" i="5"/>
  <c r="S39" i="5"/>
  <c r="S38" i="5"/>
  <c r="S37" i="5"/>
  <c r="L36" i="5"/>
  <c r="J36" i="5"/>
  <c r="N37" i="5"/>
  <c r="Q37" i="5"/>
  <c r="H36" i="5"/>
  <c r="N36" i="5"/>
  <c r="Q36" i="5"/>
  <c r="F36" i="5"/>
  <c r="N35" i="5"/>
  <c r="Q35" i="5"/>
  <c r="D36" i="5"/>
  <c r="N34" i="5"/>
  <c r="Q34" i="5"/>
  <c r="B36" i="5"/>
  <c r="N33" i="5"/>
  <c r="Q33" i="5"/>
  <c r="S34" i="5"/>
  <c r="S33" i="5"/>
  <c r="S32" i="5"/>
  <c r="L31" i="5"/>
  <c r="J31" i="5"/>
  <c r="N32" i="5"/>
  <c r="Q32" i="5"/>
  <c r="H31" i="5"/>
  <c r="N31" i="5"/>
  <c r="Q31" i="5"/>
  <c r="F31" i="5"/>
  <c r="N30" i="5"/>
  <c r="Q30" i="5"/>
  <c r="D31" i="5"/>
  <c r="N29" i="5"/>
  <c r="Q29" i="5"/>
  <c r="B31" i="5"/>
  <c r="N28" i="5"/>
  <c r="Q28" i="5"/>
  <c r="S29" i="5"/>
  <c r="S28" i="5"/>
  <c r="S27" i="5"/>
  <c r="L26" i="5"/>
  <c r="J26" i="5"/>
  <c r="N27" i="5"/>
  <c r="Q27" i="5"/>
  <c r="H26" i="5"/>
  <c r="N26" i="5"/>
  <c r="Q26" i="5"/>
  <c r="F26" i="5"/>
  <c r="N25" i="5"/>
  <c r="Q25" i="5"/>
  <c r="D26" i="5"/>
  <c r="N24" i="5"/>
  <c r="Q24" i="5"/>
  <c r="B26" i="5"/>
  <c r="N23" i="5"/>
  <c r="Q23" i="5"/>
  <c r="S24" i="5"/>
  <c r="S23" i="5"/>
  <c r="S22" i="5"/>
  <c r="L21" i="5"/>
  <c r="J21" i="5"/>
  <c r="N22" i="5"/>
  <c r="Q22" i="5"/>
  <c r="H21" i="5"/>
  <c r="N21" i="5"/>
  <c r="Q21" i="5"/>
  <c r="F21" i="5"/>
  <c r="N20" i="5"/>
  <c r="Q20" i="5"/>
  <c r="D21" i="5"/>
  <c r="N19" i="5"/>
  <c r="Q19" i="5"/>
  <c r="B21" i="5"/>
  <c r="N18" i="5"/>
  <c r="Q18" i="5"/>
  <c r="S19" i="5"/>
  <c r="S18" i="5"/>
  <c r="S17" i="5"/>
  <c r="L16" i="5"/>
  <c r="J16" i="5"/>
  <c r="N17" i="5"/>
  <c r="Q17" i="5"/>
  <c r="H16" i="5"/>
  <c r="N16" i="5"/>
  <c r="Q16" i="5"/>
  <c r="F16" i="5"/>
  <c r="N15" i="5"/>
  <c r="Q15" i="5"/>
  <c r="D16" i="5"/>
  <c r="N14" i="5"/>
  <c r="Q14" i="5"/>
  <c r="B16" i="5"/>
  <c r="N13" i="5"/>
  <c r="Q13" i="5"/>
  <c r="S14" i="5"/>
  <c r="S13" i="5"/>
  <c r="S12" i="5"/>
  <c r="L11" i="5"/>
  <c r="J11" i="5"/>
  <c r="N12" i="5"/>
  <c r="Q12" i="5"/>
  <c r="H11" i="5"/>
  <c r="N11" i="5"/>
  <c r="Q11" i="5"/>
  <c r="F11" i="5"/>
  <c r="N10" i="5"/>
  <c r="Q10" i="5"/>
  <c r="D11" i="5"/>
  <c r="N9" i="5"/>
  <c r="Q9" i="5"/>
  <c r="B11" i="5"/>
  <c r="N8" i="5"/>
  <c r="Q8" i="5"/>
  <c r="S9" i="5"/>
  <c r="S8" i="5"/>
  <c r="S7" i="5"/>
  <c r="L6" i="5"/>
  <c r="J6" i="5"/>
  <c r="N7" i="5"/>
  <c r="Q7" i="5"/>
  <c r="H6" i="5"/>
  <c r="N6" i="5"/>
  <c r="Q6" i="5"/>
  <c r="D6" i="5"/>
  <c r="N4" i="5"/>
  <c r="Q4" i="5"/>
  <c r="Q69" i="5"/>
  <c r="S4" i="5"/>
  <c r="S3" i="5"/>
  <c r="K68" i="4"/>
  <c r="I68" i="4"/>
  <c r="G68" i="4"/>
  <c r="B61" i="4"/>
  <c r="B68" i="4"/>
  <c r="K74" i="4"/>
  <c r="I74" i="4"/>
  <c r="G74" i="4"/>
  <c r="S7" i="4"/>
  <c r="F6" i="4"/>
  <c r="N5" i="4"/>
  <c r="Q5" i="4"/>
  <c r="B6" i="4"/>
  <c r="N3" i="4"/>
  <c r="Q3" i="4"/>
  <c r="L61" i="4"/>
  <c r="L68" i="4"/>
  <c r="L72" i="4"/>
  <c r="J61" i="4"/>
  <c r="N62" i="4"/>
  <c r="Q62" i="4"/>
  <c r="H61" i="4"/>
  <c r="H68" i="4"/>
  <c r="H72" i="4"/>
  <c r="F61" i="4"/>
  <c r="F68" i="4"/>
  <c r="F72" i="4"/>
  <c r="N60" i="4"/>
  <c r="Q60" i="4"/>
  <c r="D61" i="4"/>
  <c r="D68" i="4"/>
  <c r="D72" i="4"/>
  <c r="L56" i="4"/>
  <c r="J56" i="4"/>
  <c r="N57" i="4"/>
  <c r="Q57" i="4"/>
  <c r="H56" i="4"/>
  <c r="N56" i="4"/>
  <c r="Q56" i="4"/>
  <c r="F56" i="4"/>
  <c r="N55" i="4"/>
  <c r="Q55" i="4"/>
  <c r="D56" i="4"/>
  <c r="N54" i="4"/>
  <c r="Q54" i="4"/>
  <c r="B56" i="4"/>
  <c r="N53" i="4"/>
  <c r="Q53" i="4"/>
  <c r="L51" i="4"/>
  <c r="J51" i="4"/>
  <c r="N52" i="4"/>
  <c r="Q52" i="4"/>
  <c r="H51" i="4"/>
  <c r="N51" i="4"/>
  <c r="Q51" i="4"/>
  <c r="F51" i="4"/>
  <c r="N50" i="4"/>
  <c r="Q50" i="4"/>
  <c r="D51" i="4"/>
  <c r="N49" i="4"/>
  <c r="Q49" i="4"/>
  <c r="B51" i="4"/>
  <c r="N48" i="4"/>
  <c r="Q48" i="4"/>
  <c r="L46" i="4"/>
  <c r="J46" i="4"/>
  <c r="N47" i="4"/>
  <c r="Q47" i="4"/>
  <c r="H46" i="4"/>
  <c r="N46" i="4"/>
  <c r="Q46" i="4"/>
  <c r="F46" i="4"/>
  <c r="N45" i="4"/>
  <c r="Q45" i="4"/>
  <c r="D46" i="4"/>
  <c r="N44" i="4"/>
  <c r="Q44" i="4"/>
  <c r="B46" i="4"/>
  <c r="N43" i="4"/>
  <c r="Q43" i="4"/>
  <c r="L41" i="4"/>
  <c r="J41" i="4"/>
  <c r="N42" i="4"/>
  <c r="Q42" i="4"/>
  <c r="H41" i="4"/>
  <c r="N41" i="4"/>
  <c r="Q41" i="4"/>
  <c r="F41" i="4"/>
  <c r="N40" i="4"/>
  <c r="Q40" i="4"/>
  <c r="D41" i="4"/>
  <c r="N39" i="4"/>
  <c r="Q39" i="4"/>
  <c r="B41" i="4"/>
  <c r="N38" i="4"/>
  <c r="Q38" i="4"/>
  <c r="L36" i="4"/>
  <c r="J36" i="4"/>
  <c r="N37" i="4"/>
  <c r="Q37" i="4"/>
  <c r="H36" i="4"/>
  <c r="N36" i="4"/>
  <c r="Q36" i="4"/>
  <c r="F36" i="4"/>
  <c r="N35" i="4"/>
  <c r="Q35" i="4"/>
  <c r="D36" i="4"/>
  <c r="N34" i="4"/>
  <c r="Q34" i="4"/>
  <c r="B36" i="4"/>
  <c r="N33" i="4"/>
  <c r="Q33" i="4"/>
  <c r="L31" i="4"/>
  <c r="J31" i="4"/>
  <c r="N32" i="4"/>
  <c r="Q32" i="4"/>
  <c r="H31" i="4"/>
  <c r="N31" i="4"/>
  <c r="Q31" i="4"/>
  <c r="F31" i="4"/>
  <c r="N30" i="4"/>
  <c r="Q30" i="4"/>
  <c r="D31" i="4"/>
  <c r="N29" i="4"/>
  <c r="Q29" i="4"/>
  <c r="B31" i="4"/>
  <c r="N28" i="4"/>
  <c r="Q28" i="4"/>
  <c r="L26" i="4"/>
  <c r="J26" i="4"/>
  <c r="N27" i="4"/>
  <c r="Q27" i="4"/>
  <c r="H26" i="4"/>
  <c r="N26" i="4"/>
  <c r="Q26" i="4"/>
  <c r="F26" i="4"/>
  <c r="N25" i="4"/>
  <c r="Q25" i="4"/>
  <c r="D26" i="4"/>
  <c r="N24" i="4"/>
  <c r="Q24" i="4"/>
  <c r="B26" i="4"/>
  <c r="N23" i="4"/>
  <c r="Q23" i="4"/>
  <c r="L21" i="4"/>
  <c r="J21" i="4"/>
  <c r="N22" i="4"/>
  <c r="Q22" i="4"/>
  <c r="H21" i="4"/>
  <c r="N21" i="4"/>
  <c r="Q21" i="4"/>
  <c r="F21" i="4"/>
  <c r="N20" i="4"/>
  <c r="Q20" i="4"/>
  <c r="D21" i="4"/>
  <c r="N19" i="4"/>
  <c r="Q19" i="4"/>
  <c r="B21" i="4"/>
  <c r="N18" i="4"/>
  <c r="Q18" i="4"/>
  <c r="L16" i="4"/>
  <c r="J16" i="4"/>
  <c r="N17" i="4"/>
  <c r="Q17" i="4"/>
  <c r="H16" i="4"/>
  <c r="N16" i="4"/>
  <c r="Q16" i="4"/>
  <c r="F16" i="4"/>
  <c r="N15" i="4"/>
  <c r="Q15" i="4"/>
  <c r="D16" i="4"/>
  <c r="N14" i="4"/>
  <c r="Q14" i="4"/>
  <c r="B16" i="4"/>
  <c r="N13" i="4"/>
  <c r="Q13" i="4"/>
  <c r="L11" i="4"/>
  <c r="J11" i="4"/>
  <c r="N12" i="4"/>
  <c r="Q12" i="4"/>
  <c r="H11" i="4"/>
  <c r="N11" i="4"/>
  <c r="Q11" i="4"/>
  <c r="F11" i="4"/>
  <c r="N10" i="4"/>
  <c r="Q10" i="4"/>
  <c r="D11" i="4"/>
  <c r="N9" i="4"/>
  <c r="Q9" i="4"/>
  <c r="B11" i="4"/>
  <c r="N8" i="4"/>
  <c r="Q8" i="4"/>
  <c r="L6" i="4"/>
  <c r="J6" i="4"/>
  <c r="N7" i="4"/>
  <c r="Q7" i="4"/>
  <c r="H6" i="4"/>
  <c r="N6" i="4"/>
  <c r="Q6" i="4"/>
  <c r="D6" i="4"/>
  <c r="N4" i="4"/>
  <c r="Q4" i="4"/>
  <c r="S12" i="4"/>
  <c r="S17" i="4"/>
  <c r="S22" i="4"/>
  <c r="S27" i="4"/>
  <c r="S32" i="4"/>
  <c r="S37" i="4"/>
  <c r="S42" i="4"/>
  <c r="S47" i="4"/>
  <c r="S52" i="4"/>
  <c r="S57" i="4"/>
  <c r="S62" i="4"/>
  <c r="S4" i="4"/>
  <c r="S9" i="4"/>
  <c r="S14" i="4"/>
  <c r="S19" i="4"/>
  <c r="S24" i="4"/>
  <c r="S29" i="4"/>
  <c r="S34" i="4"/>
  <c r="S39" i="4"/>
  <c r="S44" i="4"/>
  <c r="S49" i="4"/>
  <c r="S54" i="4"/>
  <c r="S59" i="4"/>
  <c r="S3" i="4"/>
  <c r="S8" i="4"/>
  <c r="S13" i="4"/>
  <c r="S18" i="4"/>
  <c r="S23" i="4"/>
  <c r="S28" i="4"/>
  <c r="S33" i="4"/>
  <c r="S38" i="4"/>
  <c r="S43" i="4"/>
  <c r="S48" i="4"/>
  <c r="S53" i="4"/>
  <c r="S58" i="4"/>
  <c r="S59" i="1"/>
  <c r="S58" i="1"/>
  <c r="S54" i="1"/>
  <c r="S53" i="1"/>
  <c r="S49" i="1"/>
  <c r="S48" i="1"/>
  <c r="S44" i="1"/>
  <c r="S43" i="1"/>
  <c r="S39" i="1"/>
  <c r="S38" i="1"/>
  <c r="S34" i="1"/>
  <c r="S33" i="1"/>
  <c r="S29" i="1"/>
  <c r="S28" i="1"/>
  <c r="S24" i="1"/>
  <c r="S23" i="1"/>
  <c r="S19" i="1"/>
  <c r="S18" i="1"/>
  <c r="S14" i="1"/>
  <c r="S13" i="1"/>
  <c r="S9" i="1"/>
  <c r="S8" i="1"/>
  <c r="S4" i="1"/>
  <c r="S3" i="1"/>
  <c r="S63" i="1"/>
  <c r="S64" i="1"/>
  <c r="S62" i="1"/>
  <c r="S57" i="1"/>
  <c r="S52" i="1"/>
  <c r="S47" i="1"/>
  <c r="S42" i="1"/>
  <c r="S37" i="1"/>
  <c r="S32" i="1"/>
  <c r="S27" i="1"/>
  <c r="S22" i="1"/>
  <c r="S17" i="1"/>
  <c r="S12" i="1"/>
  <c r="S7" i="1"/>
  <c r="S67" i="1"/>
  <c r="B63" i="2"/>
  <c r="C60" i="2"/>
  <c r="C63" i="2"/>
  <c r="D60" i="2"/>
  <c r="D63" i="2"/>
  <c r="E60" i="2"/>
  <c r="E63" i="2"/>
  <c r="F60" i="2"/>
  <c r="F63" i="2"/>
  <c r="G60" i="2"/>
  <c r="G63" i="2"/>
  <c r="H60" i="2"/>
  <c r="H63" i="2"/>
  <c r="I60" i="2"/>
  <c r="I63" i="2"/>
  <c r="J60" i="2"/>
  <c r="J63" i="2"/>
  <c r="K60" i="2"/>
  <c r="K63" i="2"/>
  <c r="L60" i="2"/>
  <c r="L63" i="2"/>
  <c r="M60" i="2"/>
  <c r="M63" i="2"/>
  <c r="M65" i="2"/>
  <c r="F56" i="2"/>
  <c r="G53" i="2"/>
  <c r="G56" i="2"/>
  <c r="H53" i="2"/>
  <c r="H56" i="2"/>
  <c r="I53" i="2"/>
  <c r="I56" i="2"/>
  <c r="J53" i="2"/>
  <c r="J56" i="2"/>
  <c r="K53" i="2"/>
  <c r="K56" i="2"/>
  <c r="L53" i="2"/>
  <c r="L56" i="2"/>
  <c r="M53" i="2"/>
  <c r="M56" i="2"/>
  <c r="E56" i="2"/>
  <c r="D56" i="2"/>
  <c r="C56" i="2"/>
  <c r="B56" i="2"/>
  <c r="G49" i="2"/>
  <c r="H46" i="2"/>
  <c r="H49" i="2"/>
  <c r="I46" i="2"/>
  <c r="I49" i="2"/>
  <c r="J46" i="2"/>
  <c r="J49" i="2"/>
  <c r="K46" i="2"/>
  <c r="K49" i="2"/>
  <c r="L46" i="2"/>
  <c r="L49" i="2"/>
  <c r="M46" i="2"/>
  <c r="M49" i="2"/>
  <c r="F49" i="2"/>
  <c r="E49" i="2"/>
  <c r="D49" i="2"/>
  <c r="C49" i="2"/>
  <c r="B49" i="2"/>
  <c r="B51" i="1"/>
  <c r="N48" i="1"/>
  <c r="Q48" i="1"/>
  <c r="F42" i="2"/>
  <c r="G39" i="2"/>
  <c r="G42" i="2"/>
  <c r="H39" i="2"/>
  <c r="H42" i="2"/>
  <c r="I39" i="2"/>
  <c r="I42" i="2"/>
  <c r="J39" i="2"/>
  <c r="J42" i="2"/>
  <c r="K39" i="2"/>
  <c r="K42" i="2"/>
  <c r="L39" i="2"/>
  <c r="L42" i="2"/>
  <c r="M39" i="2"/>
  <c r="M42" i="2"/>
  <c r="F35" i="2"/>
  <c r="G32" i="2"/>
  <c r="G35" i="2"/>
  <c r="H32" i="2"/>
  <c r="H35" i="2"/>
  <c r="I32" i="2"/>
  <c r="I35" i="2"/>
  <c r="J32" i="2"/>
  <c r="J35" i="2"/>
  <c r="K32" i="2"/>
  <c r="K35" i="2"/>
  <c r="L32" i="2"/>
  <c r="L35" i="2"/>
  <c r="M32" i="2"/>
  <c r="M35" i="2"/>
  <c r="G28" i="2"/>
  <c r="H25" i="2"/>
  <c r="H28" i="2"/>
  <c r="I25" i="2"/>
  <c r="I28" i="2"/>
  <c r="J25" i="2"/>
  <c r="J28" i="2"/>
  <c r="K25" i="2"/>
  <c r="K28" i="2"/>
  <c r="L25" i="2"/>
  <c r="L28" i="2"/>
  <c r="M25" i="2"/>
  <c r="M28" i="2"/>
  <c r="F21" i="2"/>
  <c r="G18" i="2"/>
  <c r="G21" i="2"/>
  <c r="H18" i="2"/>
  <c r="H21" i="2"/>
  <c r="I18" i="2"/>
  <c r="I21" i="2"/>
  <c r="J18" i="2"/>
  <c r="J21" i="2"/>
  <c r="K18" i="2"/>
  <c r="K21" i="2"/>
  <c r="L18" i="2"/>
  <c r="L21" i="2"/>
  <c r="M18" i="2"/>
  <c r="M21" i="2"/>
  <c r="M23" i="2"/>
  <c r="F14" i="2"/>
  <c r="G11" i="2"/>
  <c r="G14" i="2"/>
  <c r="H11" i="2"/>
  <c r="H14" i="2"/>
  <c r="I11" i="2"/>
  <c r="I14" i="2"/>
  <c r="J11" i="2"/>
  <c r="J14" i="2"/>
  <c r="K11" i="2"/>
  <c r="K14" i="2"/>
  <c r="L11" i="2"/>
  <c r="L14" i="2"/>
  <c r="M11" i="2"/>
  <c r="M14" i="2"/>
  <c r="G7" i="2"/>
  <c r="H4" i="2"/>
  <c r="H7" i="2"/>
  <c r="I4" i="2"/>
  <c r="I7" i="2"/>
  <c r="J4" i="2"/>
  <c r="J7" i="2"/>
  <c r="K4" i="2"/>
  <c r="K7" i="2"/>
  <c r="L4" i="2"/>
  <c r="L7" i="2"/>
  <c r="M4" i="2"/>
  <c r="M7" i="2"/>
  <c r="E42" i="2"/>
  <c r="D42" i="2"/>
  <c r="C42" i="2"/>
  <c r="B42" i="2"/>
  <c r="E35" i="2"/>
  <c r="D35" i="2"/>
  <c r="C35" i="2"/>
  <c r="B35" i="2"/>
  <c r="F28" i="2"/>
  <c r="E28" i="2"/>
  <c r="D28" i="2"/>
  <c r="C28" i="2"/>
  <c r="B28" i="2"/>
  <c r="E21" i="2"/>
  <c r="D21" i="2"/>
  <c r="C21" i="2"/>
  <c r="B21" i="2"/>
  <c r="E14" i="2"/>
  <c r="D14" i="2"/>
  <c r="C14" i="2"/>
  <c r="B14" i="2"/>
  <c r="F7" i="2"/>
  <c r="E7" i="2"/>
  <c r="D7" i="2"/>
  <c r="C7" i="2"/>
  <c r="B7" i="2"/>
  <c r="L61" i="1"/>
  <c r="L63" i="1"/>
  <c r="L67" i="1"/>
  <c r="L56" i="1"/>
  <c r="L51" i="1"/>
  <c r="J61" i="1"/>
  <c r="N62" i="1"/>
  <c r="Q62" i="1"/>
  <c r="H61" i="1"/>
  <c r="N61" i="1"/>
  <c r="Q61" i="1"/>
  <c r="F61" i="1"/>
  <c r="F63" i="1"/>
  <c r="J56" i="1"/>
  <c r="N57" i="1"/>
  <c r="Q57" i="1"/>
  <c r="H56" i="1"/>
  <c r="N56" i="1"/>
  <c r="Q56" i="1"/>
  <c r="F56" i="1"/>
  <c r="N55" i="1"/>
  <c r="Q55" i="1"/>
  <c r="J51" i="1"/>
  <c r="N52" i="1"/>
  <c r="Q52" i="1"/>
  <c r="H51" i="1"/>
  <c r="N51" i="1"/>
  <c r="Q51" i="1"/>
  <c r="F51" i="1"/>
  <c r="N50" i="1"/>
  <c r="Q50" i="1"/>
  <c r="D51" i="1"/>
  <c r="N49" i="1"/>
  <c r="Q49" i="1"/>
  <c r="D56" i="1"/>
  <c r="N54" i="1"/>
  <c r="Q54" i="1"/>
  <c r="D61" i="1"/>
  <c r="N59" i="1"/>
  <c r="Q59" i="1"/>
  <c r="B61" i="1"/>
  <c r="B63" i="1"/>
  <c r="B67" i="1"/>
  <c r="B56" i="1"/>
  <c r="N53" i="1"/>
  <c r="Q53" i="1"/>
  <c r="B46" i="1"/>
  <c r="N43" i="1"/>
  <c r="Q43" i="1"/>
  <c r="L46" i="1"/>
  <c r="J46" i="1"/>
  <c r="N47" i="1"/>
  <c r="Q47" i="1"/>
  <c r="H46" i="1"/>
  <c r="N46" i="1"/>
  <c r="Q46" i="1"/>
  <c r="F46" i="1"/>
  <c r="N45" i="1"/>
  <c r="Q45" i="1"/>
  <c r="D46" i="1"/>
  <c r="N44" i="1"/>
  <c r="Q44" i="1"/>
  <c r="L41" i="1"/>
  <c r="J41" i="1"/>
  <c r="N42" i="1"/>
  <c r="Q42" i="1"/>
  <c r="H41" i="1"/>
  <c r="N41" i="1"/>
  <c r="Q41" i="1"/>
  <c r="F41" i="1"/>
  <c r="N40" i="1"/>
  <c r="Q40" i="1"/>
  <c r="D41" i="1"/>
  <c r="N39" i="1"/>
  <c r="Q39" i="1"/>
  <c r="L36" i="1"/>
  <c r="J36" i="1"/>
  <c r="N37" i="1"/>
  <c r="Q37" i="1"/>
  <c r="H36" i="1"/>
  <c r="N36" i="1"/>
  <c r="Q36" i="1"/>
  <c r="F36" i="1"/>
  <c r="N35" i="1"/>
  <c r="Q35" i="1"/>
  <c r="D36" i="1"/>
  <c r="N34" i="1"/>
  <c r="Q34" i="1"/>
  <c r="L31" i="1"/>
  <c r="J31" i="1"/>
  <c r="N32" i="1"/>
  <c r="Q32" i="1"/>
  <c r="H31" i="1"/>
  <c r="N31" i="1"/>
  <c r="Q31" i="1"/>
  <c r="F31" i="1"/>
  <c r="N30" i="1"/>
  <c r="Q30" i="1"/>
  <c r="D31" i="1"/>
  <c r="N29" i="1"/>
  <c r="Q29" i="1"/>
  <c r="L26" i="1"/>
  <c r="J26" i="1"/>
  <c r="N27" i="1"/>
  <c r="Q27" i="1"/>
  <c r="H26" i="1"/>
  <c r="N26" i="1"/>
  <c r="Q26" i="1"/>
  <c r="F26" i="1"/>
  <c r="N25" i="1"/>
  <c r="Q25" i="1"/>
  <c r="D26" i="1"/>
  <c r="N24" i="1"/>
  <c r="Q24" i="1"/>
  <c r="L21" i="1"/>
  <c r="J21" i="1"/>
  <c r="N22" i="1"/>
  <c r="Q22" i="1"/>
  <c r="H21" i="1"/>
  <c r="N21" i="1"/>
  <c r="Q21" i="1"/>
  <c r="F21" i="1"/>
  <c r="N20" i="1"/>
  <c r="Q20" i="1"/>
  <c r="D21" i="1"/>
  <c r="N19" i="1"/>
  <c r="Q19" i="1"/>
  <c r="L16" i="1"/>
  <c r="L11" i="1"/>
  <c r="L6" i="1"/>
  <c r="J16" i="1"/>
  <c r="N17" i="1"/>
  <c r="Q17" i="1"/>
  <c r="H16" i="1"/>
  <c r="N16" i="1"/>
  <c r="Q16" i="1"/>
  <c r="F16" i="1"/>
  <c r="N15" i="1"/>
  <c r="Q15" i="1"/>
  <c r="D16" i="1"/>
  <c r="N14" i="1"/>
  <c r="Q14" i="1"/>
  <c r="J11" i="1"/>
  <c r="N12" i="1"/>
  <c r="Q12" i="1"/>
  <c r="H11" i="1"/>
  <c r="N11" i="1"/>
  <c r="Q11" i="1"/>
  <c r="F11" i="1"/>
  <c r="N10" i="1"/>
  <c r="Q10" i="1"/>
  <c r="D11" i="1"/>
  <c r="N9" i="1"/>
  <c r="Q9" i="1"/>
  <c r="J6" i="1"/>
  <c r="N7" i="1"/>
  <c r="Q7" i="1"/>
  <c r="H6" i="1"/>
  <c r="N6" i="1"/>
  <c r="Q6" i="1"/>
  <c r="F6" i="1"/>
  <c r="N5" i="1"/>
  <c r="Q5" i="1"/>
  <c r="D6" i="1"/>
  <c r="N4" i="1"/>
  <c r="Q4" i="1"/>
  <c r="Q64" i="1"/>
  <c r="B41" i="1"/>
  <c r="N38" i="1"/>
  <c r="Q38" i="1"/>
  <c r="B36" i="1"/>
  <c r="N33" i="1"/>
  <c r="Q33" i="1"/>
  <c r="B31" i="1"/>
  <c r="N28" i="1"/>
  <c r="Q28" i="1"/>
  <c r="B26" i="1"/>
  <c r="N23" i="1"/>
  <c r="Q23" i="1"/>
  <c r="B21" i="1"/>
  <c r="N18" i="1"/>
  <c r="Q18" i="1"/>
  <c r="B16" i="1"/>
  <c r="N13" i="1"/>
  <c r="Q13" i="1"/>
  <c r="B11" i="1"/>
  <c r="N8" i="1"/>
  <c r="Q8" i="1"/>
  <c r="B6" i="1"/>
  <c r="N3" i="1"/>
  <c r="Q3" i="1"/>
  <c r="S69" i="4"/>
  <c r="N59" i="4"/>
  <c r="Q59" i="4"/>
  <c r="S72" i="4"/>
  <c r="J68" i="4"/>
  <c r="J72" i="4"/>
  <c r="S68" i="4"/>
  <c r="Q72" i="4"/>
  <c r="T72" i="4"/>
  <c r="Q70" i="4"/>
  <c r="S69" i="5"/>
  <c r="P3" i="6"/>
  <c r="S3" i="6"/>
  <c r="P11" i="6"/>
  <c r="S11" i="6"/>
  <c r="P9" i="6"/>
  <c r="S9" i="6"/>
  <c r="P8" i="6"/>
  <c r="S8" i="6"/>
  <c r="P10" i="6"/>
  <c r="S10" i="6"/>
  <c r="P16" i="6"/>
  <c r="S16" i="6"/>
  <c r="P13" i="6"/>
  <c r="S13" i="6"/>
  <c r="P15" i="6"/>
  <c r="S15" i="6"/>
  <c r="P17" i="6"/>
  <c r="S17" i="6"/>
  <c r="P14" i="6"/>
  <c r="S14" i="6"/>
  <c r="P22" i="6"/>
  <c r="S22" i="6"/>
  <c r="P19" i="6"/>
  <c r="S19" i="6"/>
  <c r="P21" i="6"/>
  <c r="S21" i="6"/>
  <c r="P18" i="6"/>
  <c r="S18" i="6"/>
  <c r="P20" i="6"/>
  <c r="S20" i="6"/>
  <c r="P27" i="6"/>
  <c r="S27" i="6"/>
  <c r="P24" i="6"/>
  <c r="S24" i="6"/>
  <c r="P26" i="6"/>
  <c r="S26" i="6"/>
  <c r="P23" i="6"/>
  <c r="S23" i="6"/>
  <c r="P25" i="6"/>
  <c r="P31" i="6"/>
  <c r="S31" i="6"/>
  <c r="P28" i="6"/>
  <c r="S28" i="6"/>
  <c r="P30" i="6"/>
  <c r="S30" i="6"/>
  <c r="P32" i="6"/>
  <c r="S32" i="6"/>
  <c r="P29" i="6"/>
  <c r="S29" i="6"/>
  <c r="P37" i="6"/>
  <c r="S37" i="6"/>
  <c r="P34" i="6"/>
  <c r="S34" i="6"/>
  <c r="P36" i="6"/>
  <c r="S36" i="6"/>
  <c r="P33" i="6"/>
  <c r="S33" i="6"/>
  <c r="P35" i="6"/>
  <c r="S35" i="6"/>
  <c r="P41" i="6"/>
  <c r="S41" i="6"/>
  <c r="P38" i="6"/>
  <c r="S38" i="6"/>
  <c r="P40" i="6"/>
  <c r="S40" i="6"/>
  <c r="P42" i="6"/>
  <c r="S42" i="6"/>
  <c r="P39" i="6"/>
  <c r="S39" i="6"/>
  <c r="P44" i="6"/>
  <c r="S44" i="6"/>
  <c r="P46" i="6"/>
  <c r="S46" i="6"/>
  <c r="P43" i="6"/>
  <c r="S43" i="6"/>
  <c r="P45" i="6"/>
  <c r="S45" i="6"/>
  <c r="P51" i="6"/>
  <c r="S51" i="6"/>
  <c r="P48" i="6"/>
  <c r="S48" i="6"/>
  <c r="P50" i="6"/>
  <c r="S50" i="6"/>
  <c r="P52" i="6"/>
  <c r="S52" i="6"/>
  <c r="P49" i="6"/>
  <c r="P57" i="6"/>
  <c r="S57" i="6"/>
  <c r="P54" i="6"/>
  <c r="S54" i="6"/>
  <c r="P56" i="6"/>
  <c r="S56" i="6"/>
  <c r="P53" i="6"/>
  <c r="S53" i="6"/>
  <c r="P55" i="6"/>
  <c r="S55" i="6"/>
  <c r="P61" i="6"/>
  <c r="S61" i="6"/>
  <c r="P58" i="6"/>
  <c r="S58" i="6"/>
  <c r="P60" i="6"/>
  <c r="S60" i="6"/>
  <c r="P62" i="6"/>
  <c r="S62" i="6"/>
  <c r="P59" i="6"/>
  <c r="S59" i="6"/>
  <c r="Q6" i="7"/>
  <c r="T6" i="7"/>
  <c r="Q3" i="7"/>
  <c r="T3" i="7"/>
  <c r="Q5" i="7"/>
  <c r="T5" i="7"/>
  <c r="V69" i="7"/>
  <c r="V73" i="7"/>
  <c r="Q58" i="7"/>
  <c r="T58" i="7"/>
  <c r="Q57" i="7"/>
  <c r="T57" i="7"/>
  <c r="Q49" i="7"/>
  <c r="T49" i="7"/>
  <c r="Q52" i="7"/>
  <c r="T52" i="7"/>
  <c r="Q47" i="7"/>
  <c r="T47" i="7"/>
  <c r="Q46" i="7"/>
  <c r="T46" i="7"/>
  <c r="Q39" i="7"/>
  <c r="T39" i="7"/>
  <c r="Q41" i="7"/>
  <c r="T41" i="7"/>
  <c r="Q37" i="7"/>
  <c r="T37" i="7"/>
  <c r="Q36" i="7"/>
  <c r="T36" i="7"/>
  <c r="Q31" i="7"/>
  <c r="T31" i="7"/>
  <c r="Q26" i="7"/>
  <c r="T26" i="7"/>
  <c r="Q24" i="7"/>
  <c r="T24" i="7"/>
  <c r="Q10" i="7"/>
  <c r="T10" i="7"/>
  <c r="Q11" i="7"/>
  <c r="T11" i="7"/>
  <c r="Q12" i="7"/>
  <c r="T12" i="7"/>
  <c r="Q7" i="7"/>
  <c r="T7" i="7"/>
  <c r="Q4" i="7"/>
  <c r="T4" i="7"/>
  <c r="Q8" i="7"/>
  <c r="T8" i="7"/>
  <c r="Q14" i="7"/>
  <c r="T14" i="7"/>
  <c r="Q23" i="7"/>
  <c r="T23" i="7"/>
  <c r="Q25" i="7"/>
  <c r="T25" i="7"/>
  <c r="Q30" i="7"/>
  <c r="T30" i="7"/>
  <c r="Q33" i="7"/>
  <c r="T33" i="7"/>
  <c r="Q35" i="7"/>
  <c r="T35" i="7"/>
  <c r="Q38" i="7"/>
  <c r="T38" i="7"/>
  <c r="Q40" i="7"/>
  <c r="T40" i="7"/>
  <c r="Q43" i="7"/>
  <c r="T43" i="7"/>
  <c r="Q45" i="7"/>
  <c r="T45" i="7"/>
  <c r="Q48" i="7"/>
  <c r="T48" i="7"/>
  <c r="Q50" i="7"/>
  <c r="T50" i="7"/>
  <c r="Q54" i="7"/>
  <c r="T54" i="7"/>
  <c r="Q56" i="7"/>
  <c r="T56" i="7"/>
  <c r="Q9" i="7"/>
  <c r="T9" i="7"/>
  <c r="Q15" i="7"/>
  <c r="T15" i="7"/>
  <c r="Q13" i="7"/>
  <c r="T13" i="7"/>
  <c r="Q17" i="7"/>
  <c r="T17" i="7"/>
  <c r="Q16" i="7"/>
  <c r="T16" i="7"/>
  <c r="Q22" i="7"/>
  <c r="T22" i="7"/>
  <c r="Q21" i="7"/>
  <c r="T21" i="7"/>
  <c r="Q19" i="7"/>
  <c r="T19" i="7"/>
  <c r="Q20" i="7"/>
  <c r="T20" i="7"/>
  <c r="Q18" i="7"/>
  <c r="T18" i="7"/>
  <c r="Q27" i="7"/>
  <c r="T27" i="7"/>
  <c r="Q29" i="7"/>
  <c r="T29" i="7"/>
  <c r="Q28" i="7"/>
  <c r="T28" i="7"/>
  <c r="Q32" i="7"/>
  <c r="T32" i="7"/>
  <c r="Q34" i="7"/>
  <c r="T34" i="7"/>
  <c r="Q42" i="7"/>
  <c r="T42" i="7"/>
  <c r="Q66" i="1"/>
  <c r="Q67" i="1"/>
  <c r="F67" i="1"/>
  <c r="N60" i="1"/>
  <c r="Q60" i="1"/>
  <c r="Q65" i="1"/>
  <c r="T64" i="1"/>
  <c r="Q71" i="5"/>
  <c r="T71" i="5"/>
  <c r="Q69" i="4"/>
  <c r="T69" i="4"/>
  <c r="Q71" i="4"/>
  <c r="T71" i="4"/>
  <c r="B72" i="4"/>
  <c r="N58" i="4"/>
  <c r="Q58" i="4"/>
  <c r="Q68" i="4"/>
  <c r="T68" i="4"/>
  <c r="B72" i="5"/>
  <c r="N58" i="5"/>
  <c r="Q58" i="5"/>
  <c r="Q68" i="5"/>
  <c r="T68" i="5"/>
  <c r="S68" i="6"/>
  <c r="V68" i="6"/>
  <c r="N61" i="4"/>
  <c r="Q61" i="4"/>
  <c r="N58" i="1"/>
  <c r="Q58" i="1"/>
  <c r="Q63" i="1"/>
  <c r="T63" i="1"/>
  <c r="S68" i="5"/>
  <c r="S72" i="5"/>
  <c r="Q70" i="5"/>
  <c r="T69" i="5"/>
  <c r="P4" i="6"/>
  <c r="S4" i="6"/>
  <c r="S69" i="6"/>
  <c r="V69" i="6"/>
  <c r="P5" i="6"/>
  <c r="S5" i="6"/>
  <c r="S70" i="6"/>
  <c r="P6" i="6"/>
  <c r="S6" i="6"/>
  <c r="S71" i="6"/>
  <c r="V71" i="6"/>
  <c r="P47" i="6"/>
  <c r="S47" i="6"/>
  <c r="S72" i="6"/>
  <c r="V72" i="6"/>
  <c r="F69" i="9"/>
  <c r="N69" i="9"/>
  <c r="O56" i="10"/>
  <c r="R56" i="10"/>
  <c r="N61" i="5"/>
  <c r="Q61" i="5"/>
  <c r="H68" i="5"/>
  <c r="H72" i="5"/>
  <c r="N62" i="5"/>
  <c r="Q62" i="5"/>
  <c r="Q72" i="5"/>
  <c r="J68" i="5"/>
  <c r="J72" i="5"/>
  <c r="B73" i="8"/>
  <c r="D69" i="9"/>
  <c r="H69" i="9"/>
  <c r="L69" i="9"/>
  <c r="R65" i="11"/>
  <c r="R67" i="11"/>
  <c r="R68" i="11"/>
  <c r="R66" i="11"/>
  <c r="R64" i="11"/>
  <c r="O46" i="10"/>
  <c r="R46" i="10"/>
  <c r="O61" i="10"/>
  <c r="R61" i="10"/>
  <c r="T66" i="10"/>
  <c r="T70" i="10"/>
  <c r="O54" i="10"/>
  <c r="R54" i="10"/>
  <c r="O49" i="10"/>
  <c r="R49" i="10"/>
  <c r="O44" i="10"/>
  <c r="R44" i="10"/>
  <c r="O41" i="10"/>
  <c r="R41" i="10"/>
  <c r="O39" i="10"/>
  <c r="R39" i="10"/>
  <c r="O36" i="10"/>
  <c r="R36" i="10"/>
  <c r="O34" i="10"/>
  <c r="R34" i="10"/>
  <c r="O31" i="10"/>
  <c r="R31" i="10"/>
  <c r="O29" i="10"/>
  <c r="R29" i="10"/>
  <c r="O26" i="10"/>
  <c r="R26" i="10"/>
  <c r="O24" i="10"/>
  <c r="R24" i="10"/>
  <c r="O21" i="10"/>
  <c r="R21" i="10"/>
  <c r="O19" i="10"/>
  <c r="R19" i="10"/>
  <c r="O14" i="10"/>
  <c r="R14" i="10"/>
  <c r="O11" i="10"/>
  <c r="R11" i="10"/>
  <c r="O9" i="10"/>
  <c r="R9" i="10"/>
  <c r="O6" i="10"/>
  <c r="R6" i="10"/>
  <c r="O3" i="10"/>
  <c r="R3" i="10"/>
  <c r="O59" i="10"/>
  <c r="R59" i="10"/>
  <c r="O60" i="10"/>
  <c r="R60" i="10"/>
  <c r="O63" i="10"/>
  <c r="R63" i="10"/>
  <c r="O57" i="10"/>
  <c r="R57" i="10"/>
  <c r="O55" i="10"/>
  <c r="R55" i="10"/>
  <c r="O58" i="10"/>
  <c r="R58" i="10"/>
  <c r="O52" i="10"/>
  <c r="R52" i="10"/>
  <c r="O50" i="10"/>
  <c r="R50" i="10"/>
  <c r="O53" i="10"/>
  <c r="R53" i="10"/>
  <c r="O47" i="10"/>
  <c r="R47" i="10"/>
  <c r="O45" i="10"/>
  <c r="R45" i="10"/>
  <c r="O48" i="10"/>
  <c r="R48" i="10"/>
  <c r="O42" i="10"/>
  <c r="R42" i="10"/>
  <c r="O40" i="10"/>
  <c r="R40" i="10"/>
  <c r="O43" i="10"/>
  <c r="R43" i="10"/>
  <c r="O37" i="10"/>
  <c r="R37" i="10"/>
  <c r="O35" i="10"/>
  <c r="R35" i="10"/>
  <c r="O38" i="10"/>
  <c r="R38" i="10"/>
  <c r="O32" i="10"/>
  <c r="R32" i="10"/>
  <c r="O30" i="10"/>
  <c r="R30" i="10"/>
  <c r="O33" i="10"/>
  <c r="R33" i="10"/>
  <c r="O27" i="10"/>
  <c r="R27" i="10"/>
  <c r="O25" i="10"/>
  <c r="R25" i="10"/>
  <c r="O28" i="10"/>
  <c r="R28" i="10"/>
  <c r="O22" i="10"/>
  <c r="R22" i="10"/>
  <c r="O20" i="10"/>
  <c r="R20" i="10"/>
  <c r="O23" i="10"/>
  <c r="R23" i="10"/>
  <c r="O15" i="10"/>
  <c r="R15" i="10"/>
  <c r="O16" i="10"/>
  <c r="R16" i="10"/>
  <c r="O17" i="10"/>
  <c r="R17" i="10"/>
  <c r="O18" i="10"/>
  <c r="R18" i="10"/>
  <c r="T67" i="10"/>
  <c r="O12" i="10"/>
  <c r="R12" i="10"/>
  <c r="O10" i="10"/>
  <c r="R10" i="10"/>
  <c r="O13" i="10"/>
  <c r="R13" i="10"/>
  <c r="O7" i="10"/>
  <c r="R7" i="10"/>
  <c r="O5" i="10"/>
  <c r="R5" i="10"/>
  <c r="O8" i="10"/>
  <c r="R8" i="10"/>
  <c r="B66" i="10"/>
  <c r="J66" i="10"/>
  <c r="O62" i="10"/>
  <c r="R62" i="10"/>
  <c r="O59" i="9"/>
  <c r="R59" i="9"/>
  <c r="O53" i="9"/>
  <c r="R53" i="9"/>
  <c r="O49" i="9"/>
  <c r="R49" i="9"/>
  <c r="O43" i="9"/>
  <c r="R43" i="9"/>
  <c r="O39" i="9"/>
  <c r="R39" i="9"/>
  <c r="O34" i="9"/>
  <c r="R34" i="9"/>
  <c r="O38" i="9"/>
  <c r="R38" i="9"/>
  <c r="O44" i="9"/>
  <c r="R44" i="9"/>
  <c r="O45" i="9"/>
  <c r="R45" i="9"/>
  <c r="O48" i="9"/>
  <c r="R48" i="9"/>
  <c r="O54" i="9"/>
  <c r="R54" i="9"/>
  <c r="O55" i="9"/>
  <c r="R55" i="9"/>
  <c r="O58" i="9"/>
  <c r="R58" i="9"/>
  <c r="O40" i="9"/>
  <c r="R40" i="9"/>
  <c r="O50" i="9"/>
  <c r="R50" i="9"/>
  <c r="O35" i="9"/>
  <c r="R35" i="9"/>
  <c r="O33" i="9"/>
  <c r="R33" i="9"/>
  <c r="O29" i="9"/>
  <c r="R29" i="9"/>
  <c r="O28" i="9"/>
  <c r="R28" i="9"/>
  <c r="O30" i="9"/>
  <c r="R30" i="9"/>
  <c r="O24" i="9"/>
  <c r="R24" i="9"/>
  <c r="O25" i="9"/>
  <c r="R25" i="9"/>
  <c r="O23" i="9"/>
  <c r="R23" i="9"/>
  <c r="O19" i="9"/>
  <c r="R19" i="9"/>
  <c r="O18" i="9"/>
  <c r="R18" i="9"/>
  <c r="O20" i="9"/>
  <c r="R20" i="9"/>
  <c r="O14" i="9"/>
  <c r="R14" i="9"/>
  <c r="O13" i="9"/>
  <c r="R13" i="9"/>
  <c r="O15" i="9"/>
  <c r="R15" i="9"/>
  <c r="O9" i="9"/>
  <c r="R9" i="9"/>
  <c r="O8" i="9"/>
  <c r="R8" i="9"/>
  <c r="O10" i="9"/>
  <c r="R10" i="9"/>
  <c r="O4" i="9"/>
  <c r="R4" i="9"/>
  <c r="O3" i="9"/>
  <c r="R3" i="9"/>
  <c r="O5" i="9"/>
  <c r="R5" i="9"/>
  <c r="T65" i="9"/>
  <c r="O60" i="9"/>
  <c r="R60" i="9"/>
  <c r="O62" i="9"/>
  <c r="R62" i="9"/>
  <c r="O56" i="9"/>
  <c r="R56" i="9"/>
  <c r="O57" i="9"/>
  <c r="R57" i="9"/>
  <c r="O51" i="9"/>
  <c r="R51" i="9"/>
  <c r="O52" i="9"/>
  <c r="R52" i="9"/>
  <c r="O46" i="9"/>
  <c r="R46" i="9"/>
  <c r="O47" i="9"/>
  <c r="R47" i="9"/>
  <c r="O41" i="9"/>
  <c r="R41" i="9"/>
  <c r="O42" i="9"/>
  <c r="R42" i="9"/>
  <c r="O36" i="9"/>
  <c r="R36" i="9"/>
  <c r="O37" i="9"/>
  <c r="R37" i="9"/>
  <c r="O31" i="9"/>
  <c r="R31" i="9"/>
  <c r="O32" i="9"/>
  <c r="R32" i="9"/>
  <c r="O26" i="9"/>
  <c r="R26" i="9"/>
  <c r="O27" i="9"/>
  <c r="R27" i="9"/>
  <c r="O21" i="9"/>
  <c r="R21" i="9"/>
  <c r="O22" i="9"/>
  <c r="R22" i="9"/>
  <c r="O16" i="9"/>
  <c r="R16" i="9"/>
  <c r="O17" i="9"/>
  <c r="R17" i="9"/>
  <c r="O11" i="9"/>
  <c r="R11" i="9"/>
  <c r="O12" i="9"/>
  <c r="R12" i="9"/>
  <c r="O6" i="9"/>
  <c r="R6" i="9"/>
  <c r="O7" i="9"/>
  <c r="R7" i="9"/>
  <c r="B65" i="9"/>
  <c r="B69" i="9"/>
  <c r="J65" i="9"/>
  <c r="J69" i="9"/>
  <c r="O61" i="9"/>
  <c r="R61" i="9"/>
  <c r="O61" i="8"/>
  <c r="R61" i="8"/>
  <c r="O45" i="8"/>
  <c r="R45" i="8"/>
  <c r="O34" i="8"/>
  <c r="R34" i="8"/>
  <c r="O24" i="8"/>
  <c r="R24" i="8"/>
  <c r="O20" i="8"/>
  <c r="R20" i="8"/>
  <c r="O4" i="8"/>
  <c r="R4" i="8"/>
  <c r="V70" i="7"/>
  <c r="O14" i="8"/>
  <c r="R14" i="8"/>
  <c r="O41" i="8"/>
  <c r="R41" i="8"/>
  <c r="T69" i="8"/>
  <c r="T70" i="8"/>
  <c r="T73" i="8"/>
  <c r="O10" i="8"/>
  <c r="R10" i="8"/>
  <c r="O30" i="8"/>
  <c r="R30" i="8"/>
  <c r="O51" i="8"/>
  <c r="R51" i="8"/>
  <c r="O56" i="8"/>
  <c r="R56" i="8"/>
  <c r="O57" i="8"/>
  <c r="R57" i="8"/>
  <c r="O59" i="8"/>
  <c r="R59" i="8"/>
  <c r="O55" i="8"/>
  <c r="R55" i="8"/>
  <c r="O58" i="8"/>
  <c r="R58" i="8"/>
  <c r="O50" i="8"/>
  <c r="R50" i="8"/>
  <c r="O52" i="8"/>
  <c r="R52" i="8"/>
  <c r="O46" i="8"/>
  <c r="R46" i="8"/>
  <c r="O47" i="8"/>
  <c r="R47" i="8"/>
  <c r="O40" i="8"/>
  <c r="R40" i="8"/>
  <c r="O42" i="8"/>
  <c r="R42" i="8"/>
  <c r="O35" i="8"/>
  <c r="R35" i="8"/>
  <c r="O37" i="8"/>
  <c r="R37" i="8"/>
  <c r="O29" i="8"/>
  <c r="R29" i="8"/>
  <c r="O31" i="8"/>
  <c r="R31" i="8"/>
  <c r="O25" i="8"/>
  <c r="R25" i="8"/>
  <c r="O26" i="8"/>
  <c r="R26" i="8"/>
  <c r="O19" i="8"/>
  <c r="R19" i="8"/>
  <c r="O21" i="8"/>
  <c r="R21" i="8"/>
  <c r="O15" i="8"/>
  <c r="R15" i="8"/>
  <c r="O16" i="8"/>
  <c r="R16" i="8"/>
  <c r="O9" i="8"/>
  <c r="R9" i="8"/>
  <c r="O11" i="8"/>
  <c r="R11" i="8"/>
  <c r="O5" i="8"/>
  <c r="R5" i="8"/>
  <c r="O6" i="8"/>
  <c r="R6" i="8"/>
  <c r="O7" i="8"/>
  <c r="R7" i="8"/>
  <c r="O12" i="8"/>
  <c r="R12" i="8"/>
  <c r="O17" i="8"/>
  <c r="R17" i="8"/>
  <c r="O22" i="8"/>
  <c r="R22" i="8"/>
  <c r="O27" i="8"/>
  <c r="R27" i="8"/>
  <c r="O32" i="8"/>
  <c r="R32" i="8"/>
  <c r="O38" i="8"/>
  <c r="R38" i="8"/>
  <c r="O43" i="8"/>
  <c r="R43" i="8"/>
  <c r="O48" i="8"/>
  <c r="R48" i="8"/>
  <c r="O53" i="8"/>
  <c r="R53" i="8"/>
  <c r="O62" i="8"/>
  <c r="R62" i="8"/>
  <c r="O63" i="8"/>
  <c r="R63" i="8"/>
  <c r="O3" i="8"/>
  <c r="R3" i="8"/>
  <c r="O8" i="8"/>
  <c r="R8" i="8"/>
  <c r="O13" i="8"/>
  <c r="R13" i="8"/>
  <c r="O18" i="8"/>
  <c r="R18" i="8"/>
  <c r="O23" i="8"/>
  <c r="R23" i="8"/>
  <c r="O28" i="8"/>
  <c r="R28" i="8"/>
  <c r="O33" i="8"/>
  <c r="R33" i="8"/>
  <c r="O39" i="8"/>
  <c r="R39" i="8"/>
  <c r="O44" i="8"/>
  <c r="R44" i="8"/>
  <c r="O49" i="8"/>
  <c r="R49" i="8"/>
  <c r="O54" i="8"/>
  <c r="R54" i="8"/>
  <c r="O60" i="8"/>
  <c r="R60" i="8"/>
  <c r="Q63" i="7"/>
  <c r="T63" i="7"/>
  <c r="Q61" i="7"/>
  <c r="T61" i="7"/>
  <c r="Q59" i="7"/>
  <c r="T59" i="7"/>
  <c r="T69" i="7"/>
  <c r="Q62" i="7"/>
  <c r="T62" i="7"/>
  <c r="T72" i="7"/>
  <c r="Q60" i="7"/>
  <c r="T60" i="7"/>
  <c r="Q55" i="7"/>
  <c r="T55" i="7"/>
  <c r="Q53" i="7"/>
  <c r="T53" i="7"/>
  <c r="T71" i="7"/>
  <c r="T73" i="7"/>
  <c r="Q44" i="7"/>
  <c r="T44" i="7"/>
  <c r="T66" i="1"/>
  <c r="T72" i="5"/>
  <c r="T67" i="1"/>
  <c r="U65" i="11"/>
  <c r="U68" i="11"/>
  <c r="U64" i="11"/>
  <c r="U67" i="11"/>
  <c r="R68" i="10"/>
  <c r="R66" i="10"/>
  <c r="R70" i="10"/>
  <c r="R67" i="10"/>
  <c r="R69" i="10"/>
  <c r="R69" i="9"/>
  <c r="R66" i="9"/>
  <c r="R65" i="9"/>
  <c r="R67" i="9"/>
  <c r="R68" i="9"/>
  <c r="R71" i="8"/>
  <c r="R70" i="8"/>
  <c r="R72" i="8"/>
  <c r="T70" i="7"/>
  <c r="R73" i="8"/>
  <c r="U73" i="8"/>
  <c r="R69" i="8"/>
  <c r="W73" i="7"/>
  <c r="W70" i="7"/>
  <c r="W72" i="7"/>
  <c r="W69" i="7"/>
  <c r="U69" i="10"/>
  <c r="U70" i="10"/>
  <c r="U67" i="10"/>
  <c r="U66" i="10"/>
  <c r="U66" i="9"/>
  <c r="U68" i="9"/>
  <c r="U69" i="9"/>
  <c r="U65" i="9"/>
  <c r="U72" i="8"/>
  <c r="U69" i="8"/>
  <c r="U70" i="8"/>
  <c r="N70" i="12"/>
  <c r="O32" i="12"/>
  <c r="R32" i="12"/>
  <c r="O29" i="12"/>
  <c r="R29" i="12"/>
  <c r="O30" i="12"/>
  <c r="R30" i="12"/>
  <c r="F70" i="12"/>
  <c r="O24" i="12"/>
  <c r="R24" i="12"/>
  <c r="O26" i="12"/>
  <c r="R26" i="12"/>
  <c r="O23" i="12"/>
  <c r="R23" i="12"/>
  <c r="O27" i="12"/>
  <c r="R27" i="12"/>
  <c r="O25" i="12"/>
  <c r="R25" i="12"/>
  <c r="O22" i="12"/>
  <c r="R22" i="12"/>
  <c r="O18" i="12"/>
  <c r="R18" i="12"/>
  <c r="O20" i="12"/>
  <c r="R20" i="12"/>
  <c r="O21" i="12"/>
  <c r="R21" i="12"/>
  <c r="O45" i="12"/>
  <c r="R45" i="12"/>
  <c r="O46" i="12"/>
  <c r="R46" i="12"/>
  <c r="O48" i="12"/>
  <c r="R48" i="12"/>
  <c r="O49" i="12"/>
  <c r="R49" i="12"/>
  <c r="O47" i="12"/>
  <c r="R47" i="12"/>
  <c r="O41" i="12"/>
  <c r="R41" i="12"/>
  <c r="O42" i="12"/>
  <c r="R42" i="12"/>
  <c r="O43" i="12"/>
  <c r="R43" i="12"/>
  <c r="O40" i="12"/>
  <c r="R40" i="12"/>
  <c r="O44" i="12"/>
  <c r="R44" i="12"/>
  <c r="O55" i="12"/>
  <c r="R55" i="12"/>
  <c r="R66" i="12"/>
  <c r="O56" i="12"/>
  <c r="R56" i="12"/>
  <c r="R67" i="12"/>
  <c r="O57" i="12"/>
  <c r="R57" i="12"/>
  <c r="R68" i="12"/>
  <c r="O58" i="12"/>
  <c r="R58" i="12"/>
  <c r="R69" i="12"/>
  <c r="O59" i="12"/>
  <c r="R59" i="12"/>
  <c r="R70" i="12"/>
  <c r="U66" i="12"/>
  <c r="U70" i="12"/>
  <c r="U69" i="12"/>
  <c r="U67" i="12"/>
</calcChain>
</file>

<file path=xl/sharedStrings.xml><?xml version="1.0" encoding="utf-8"?>
<sst xmlns="http://schemas.openxmlformats.org/spreadsheetml/2006/main" count="1554" uniqueCount="47">
  <si>
    <t>FUND BALANCE</t>
  </si>
  <si>
    <t>10-GENERAL</t>
  </si>
  <si>
    <t>21-CAPITAL OUTLAY</t>
  </si>
  <si>
    <t>22-SPECIAL ED</t>
  </si>
  <si>
    <t>24-PENSION</t>
  </si>
  <si>
    <t>32-BOND</t>
  </si>
  <si>
    <t>51-FOOD SERVICE</t>
  </si>
  <si>
    <t>BEGINNING BALANCE</t>
  </si>
  <si>
    <t>+ REVENUE</t>
  </si>
  <si>
    <t>- EXPENDITURES</t>
  </si>
  <si>
    <t>ENDING BALANCE</t>
  </si>
  <si>
    <t xml:space="preserve"> </t>
  </si>
  <si>
    <t xml:space="preserve">Expensed </t>
  </si>
  <si>
    <t>Cash</t>
  </si>
  <si>
    <t>EXPENSED CONTRACTS</t>
  </si>
  <si>
    <t>CASH IN BANK</t>
  </si>
  <si>
    <t>GF</t>
  </si>
  <si>
    <t>CO</t>
  </si>
  <si>
    <t>SE</t>
  </si>
  <si>
    <t>PN</t>
  </si>
  <si>
    <t>BD</t>
  </si>
  <si>
    <t xml:space="preserve">% INTEREST </t>
  </si>
  <si>
    <t>NOW INTER</t>
  </si>
  <si>
    <t>CD INTER</t>
  </si>
  <si>
    <t xml:space="preserve">Pipestone Tuition </t>
  </si>
  <si>
    <t>Dec. board bills late</t>
  </si>
  <si>
    <t>+EXPENSED CONTRACTS</t>
  </si>
  <si>
    <t>+ACCOUNTS PAYABLE</t>
  </si>
  <si>
    <t>+CNG IN DUE 08-09</t>
  </si>
  <si>
    <t>+NON CASH EXP. DEPR</t>
  </si>
  <si>
    <t>-ACCTS RECEIVABLE</t>
  </si>
  <si>
    <t>-AUDIT ADJUSTMENTS</t>
  </si>
  <si>
    <t>+CNG IN DUE 09-10</t>
  </si>
  <si>
    <t>41-WIP</t>
  </si>
  <si>
    <t>51-FOOD SERV</t>
  </si>
  <si>
    <t>+CNG IN DUE 11-12</t>
  </si>
  <si>
    <t xml:space="preserve">ADJUSTMENT </t>
  </si>
  <si>
    <t xml:space="preserve">*****$32.80 difference due to voiding check &amp; reissue for $32.80 less - UPS I didn't rerun reports </t>
  </si>
  <si>
    <t>53-DRIVER ED</t>
  </si>
  <si>
    <t xml:space="preserve">21-CAPITAL  </t>
  </si>
  <si>
    <t>- AUDIT ADJUSTMENT</t>
  </si>
  <si>
    <t>Moved to Capital</t>
  </si>
  <si>
    <t>AUDIT ADJUSTMENT</t>
  </si>
  <si>
    <t>-DUE FROM STATE</t>
  </si>
  <si>
    <t>+ADJUST DEDUCT LIFE INS</t>
  </si>
  <si>
    <t>+ADJUST FEDERAL REV</t>
  </si>
  <si>
    <t xml:space="preserve">ADJUST FROM NPIP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</si>
</sst>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7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'!$B$4:$M$4</c:f>
              <c:numCache>
                <c:formatCode>"$"#,##0.00</c:formatCode>
                <c:ptCount val="12"/>
                <c:pt idx="0">
                  <c:v>712710.55</c:v>
                </c:pt>
                <c:pt idx="1">
                  <c:v>706188.31</c:v>
                </c:pt>
                <c:pt idx="2">
                  <c:v>623235.43999999994</c:v>
                </c:pt>
                <c:pt idx="3">
                  <c:v>587818.39</c:v>
                </c:pt>
                <c:pt idx="4">
                  <c:v>466929</c:v>
                </c:pt>
                <c:pt idx="5">
                  <c:v>536738.05000000005</c:v>
                </c:pt>
                <c:pt idx="6">
                  <c:v>530863.08000000007</c:v>
                </c:pt>
                <c:pt idx="7">
                  <c:v>523338.09000000008</c:v>
                </c:pt>
                <c:pt idx="8">
                  <c:v>446764.60000000009</c:v>
                </c:pt>
                <c:pt idx="9">
                  <c:v>403321.6100000001</c:v>
                </c:pt>
                <c:pt idx="10">
                  <c:v>315357.37000000011</c:v>
                </c:pt>
                <c:pt idx="11">
                  <c:v>470915.08000000007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'!$B$5:$M$5</c:f>
              <c:numCache>
                <c:formatCode>"$"#,##0.00</c:formatCode>
                <c:ptCount val="12"/>
                <c:pt idx="0">
                  <c:v>157137.67000000001</c:v>
                </c:pt>
                <c:pt idx="1">
                  <c:v>89507.36</c:v>
                </c:pt>
                <c:pt idx="2">
                  <c:v>141069.91</c:v>
                </c:pt>
                <c:pt idx="3">
                  <c:v>91634.65</c:v>
                </c:pt>
                <c:pt idx="4">
                  <c:v>255931.55</c:v>
                </c:pt>
                <c:pt idx="5">
                  <c:v>163429.26999999999</c:v>
                </c:pt>
                <c:pt idx="6">
                  <c:v>150966.29999999999</c:v>
                </c:pt>
                <c:pt idx="7">
                  <c:v>102222.36</c:v>
                </c:pt>
                <c:pt idx="8">
                  <c:v>131033.87</c:v>
                </c:pt>
                <c:pt idx="9">
                  <c:v>94680</c:v>
                </c:pt>
                <c:pt idx="10">
                  <c:v>336838.75</c:v>
                </c:pt>
                <c:pt idx="11">
                  <c:v>305767.73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'!$B$6:$M$6</c:f>
              <c:numCache>
                <c:formatCode>"$"#,##0.00</c:formatCode>
                <c:ptCount val="12"/>
                <c:pt idx="0">
                  <c:v>163659.91</c:v>
                </c:pt>
                <c:pt idx="1">
                  <c:v>172460.23</c:v>
                </c:pt>
                <c:pt idx="2">
                  <c:v>176486.96</c:v>
                </c:pt>
                <c:pt idx="3">
                  <c:v>212524.04</c:v>
                </c:pt>
                <c:pt idx="4">
                  <c:v>186122.5</c:v>
                </c:pt>
                <c:pt idx="5">
                  <c:v>169304.24</c:v>
                </c:pt>
                <c:pt idx="6">
                  <c:v>158491.29</c:v>
                </c:pt>
                <c:pt idx="7">
                  <c:v>178795.85</c:v>
                </c:pt>
                <c:pt idx="8">
                  <c:v>174476.86</c:v>
                </c:pt>
                <c:pt idx="9">
                  <c:v>182644.24</c:v>
                </c:pt>
                <c:pt idx="10">
                  <c:v>181281.04</c:v>
                </c:pt>
                <c:pt idx="11">
                  <c:v>368446.89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'!$A$7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'!$B$7:$M$7</c:f>
              <c:numCache>
                <c:formatCode>"$"#,##0.00</c:formatCode>
                <c:ptCount val="12"/>
                <c:pt idx="0">
                  <c:v>706188.31</c:v>
                </c:pt>
                <c:pt idx="1">
                  <c:v>623235.44000000006</c:v>
                </c:pt>
                <c:pt idx="2">
                  <c:v>587818.39</c:v>
                </c:pt>
                <c:pt idx="3">
                  <c:v>466929</c:v>
                </c:pt>
                <c:pt idx="4">
                  <c:v>536738.05000000005</c:v>
                </c:pt>
                <c:pt idx="5">
                  <c:v>530863.08000000007</c:v>
                </c:pt>
                <c:pt idx="6">
                  <c:v>523338.09000000008</c:v>
                </c:pt>
                <c:pt idx="7">
                  <c:v>446764.60000000009</c:v>
                </c:pt>
                <c:pt idx="8">
                  <c:v>403321.6100000001</c:v>
                </c:pt>
                <c:pt idx="9">
                  <c:v>315357.37000000011</c:v>
                </c:pt>
                <c:pt idx="10">
                  <c:v>470915.08000000007</c:v>
                </c:pt>
                <c:pt idx="11">
                  <c:v>408235.92000000004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944504"/>
        <c:axId val="339729856"/>
      </c:lineChart>
      <c:catAx>
        <c:axId val="340944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29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972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0944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'!$A$11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'!$B$11:$M$11</c:f>
              <c:numCache>
                <c:formatCode>"$"#,##0.00</c:formatCode>
                <c:ptCount val="12"/>
                <c:pt idx="0">
                  <c:v>584197.88</c:v>
                </c:pt>
                <c:pt idx="1">
                  <c:v>553949.38</c:v>
                </c:pt>
                <c:pt idx="2">
                  <c:v>485114.44</c:v>
                </c:pt>
                <c:pt idx="3">
                  <c:v>476979.68</c:v>
                </c:pt>
                <c:pt idx="4">
                  <c:v>429290.15</c:v>
                </c:pt>
                <c:pt idx="5">
                  <c:v>442204.96</c:v>
                </c:pt>
                <c:pt idx="6">
                  <c:v>441909.11</c:v>
                </c:pt>
                <c:pt idx="7">
                  <c:v>390661.12999999995</c:v>
                </c:pt>
                <c:pt idx="8">
                  <c:v>356236.16</c:v>
                </c:pt>
                <c:pt idx="9">
                  <c:v>320060.43999999994</c:v>
                </c:pt>
                <c:pt idx="10">
                  <c:v>271879.49</c:v>
                </c:pt>
                <c:pt idx="11">
                  <c:v>463990.12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'!$A$12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'!$B$12:$M$12</c:f>
              <c:numCache>
                <c:formatCode>"$"#,##0.00</c:formatCode>
                <c:ptCount val="12"/>
                <c:pt idx="0">
                  <c:v>144296.79</c:v>
                </c:pt>
                <c:pt idx="1">
                  <c:v>82354.34</c:v>
                </c:pt>
                <c:pt idx="2">
                  <c:v>150871.71</c:v>
                </c:pt>
                <c:pt idx="3">
                  <c:v>110284.19</c:v>
                </c:pt>
                <c:pt idx="4">
                  <c:v>219569.26</c:v>
                </c:pt>
                <c:pt idx="5">
                  <c:v>156988.07</c:v>
                </c:pt>
                <c:pt idx="6">
                  <c:v>116118.58</c:v>
                </c:pt>
                <c:pt idx="7">
                  <c:v>124052.71</c:v>
                </c:pt>
                <c:pt idx="8">
                  <c:v>143094.01999999999</c:v>
                </c:pt>
                <c:pt idx="9">
                  <c:v>108176.26</c:v>
                </c:pt>
                <c:pt idx="10">
                  <c:v>303012.52</c:v>
                </c:pt>
                <c:pt idx="11">
                  <c:v>226791.22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'!$A$13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'!$B$13:$M$13</c:f>
              <c:numCache>
                <c:formatCode>"$"#,##0.00</c:formatCode>
                <c:ptCount val="12"/>
                <c:pt idx="0">
                  <c:v>174545.29</c:v>
                </c:pt>
                <c:pt idx="1">
                  <c:v>151189.28</c:v>
                </c:pt>
                <c:pt idx="2">
                  <c:v>159006.47</c:v>
                </c:pt>
                <c:pt idx="3">
                  <c:v>157973.72</c:v>
                </c:pt>
                <c:pt idx="4">
                  <c:v>206654.45</c:v>
                </c:pt>
                <c:pt idx="5">
                  <c:v>157283.92000000001</c:v>
                </c:pt>
                <c:pt idx="6">
                  <c:v>167366.56</c:v>
                </c:pt>
                <c:pt idx="7">
                  <c:v>158477.68</c:v>
                </c:pt>
                <c:pt idx="8">
                  <c:v>179269.74</c:v>
                </c:pt>
                <c:pt idx="9">
                  <c:v>156357.21</c:v>
                </c:pt>
                <c:pt idx="10">
                  <c:v>110901.89</c:v>
                </c:pt>
                <c:pt idx="11">
                  <c:v>158761.53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'!$A$14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'!$B$14:$M$14</c:f>
              <c:numCache>
                <c:formatCode>"$"#,##0.00</c:formatCode>
                <c:ptCount val="12"/>
                <c:pt idx="0">
                  <c:v>553949.38</c:v>
                </c:pt>
                <c:pt idx="1">
                  <c:v>485114.43999999994</c:v>
                </c:pt>
                <c:pt idx="2">
                  <c:v>476979.68000000005</c:v>
                </c:pt>
                <c:pt idx="3">
                  <c:v>429290.15</c:v>
                </c:pt>
                <c:pt idx="4">
                  <c:v>442204.96</c:v>
                </c:pt>
                <c:pt idx="5">
                  <c:v>441909.11</c:v>
                </c:pt>
                <c:pt idx="6">
                  <c:v>390661.12999999995</c:v>
                </c:pt>
                <c:pt idx="7">
                  <c:v>356236.16</c:v>
                </c:pt>
                <c:pt idx="8">
                  <c:v>320060.43999999994</c:v>
                </c:pt>
                <c:pt idx="9">
                  <c:v>271879.49</c:v>
                </c:pt>
                <c:pt idx="10">
                  <c:v>463990.12</c:v>
                </c:pt>
                <c:pt idx="11">
                  <c:v>532019.80999999994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27504"/>
        <c:axId val="339728288"/>
      </c:lineChart>
      <c:catAx>
        <c:axId val="33972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28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972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27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'!$A$18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'!$B$18:$M$18</c:f>
              <c:numCache>
                <c:formatCode>"$"#,##0.00</c:formatCode>
                <c:ptCount val="12"/>
                <c:pt idx="0">
                  <c:v>531983.56000000006</c:v>
                </c:pt>
                <c:pt idx="1">
                  <c:v>655017.28</c:v>
                </c:pt>
                <c:pt idx="2">
                  <c:v>634067.76</c:v>
                </c:pt>
                <c:pt idx="3">
                  <c:v>544479.16</c:v>
                </c:pt>
                <c:pt idx="4">
                  <c:v>529052.53</c:v>
                </c:pt>
                <c:pt idx="5">
                  <c:v>659263.39999999991</c:v>
                </c:pt>
                <c:pt idx="6">
                  <c:v>658577.73</c:v>
                </c:pt>
                <c:pt idx="7">
                  <c:v>591688.92999999993</c:v>
                </c:pt>
                <c:pt idx="8">
                  <c:v>559699.9</c:v>
                </c:pt>
                <c:pt idx="9">
                  <c:v>513497.95000000007</c:v>
                </c:pt>
                <c:pt idx="10">
                  <c:v>479641.82000000007</c:v>
                </c:pt>
                <c:pt idx="11">
                  <c:v>641836.23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'!$A$19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'!$B$19:$M$19</c:f>
              <c:numCache>
                <c:formatCode>"$"#,##0.00</c:formatCode>
                <c:ptCount val="12"/>
                <c:pt idx="0">
                  <c:v>290761.09999999998</c:v>
                </c:pt>
                <c:pt idx="1">
                  <c:v>142782.93</c:v>
                </c:pt>
                <c:pt idx="2">
                  <c:v>108847.9</c:v>
                </c:pt>
                <c:pt idx="3">
                  <c:v>138533.04999999999</c:v>
                </c:pt>
                <c:pt idx="4">
                  <c:v>354743.92</c:v>
                </c:pt>
                <c:pt idx="5">
                  <c:v>174964.52</c:v>
                </c:pt>
                <c:pt idx="6">
                  <c:v>87473.09</c:v>
                </c:pt>
                <c:pt idx="7">
                  <c:v>150356.81</c:v>
                </c:pt>
                <c:pt idx="8">
                  <c:v>114663.39</c:v>
                </c:pt>
                <c:pt idx="9">
                  <c:v>121244.72</c:v>
                </c:pt>
                <c:pt idx="10">
                  <c:v>325018.96000000002</c:v>
                </c:pt>
                <c:pt idx="11">
                  <c:v>409310.46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'!$A$20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'!$B$20:$M$20</c:f>
              <c:numCache>
                <c:formatCode>"$"#,##0.00</c:formatCode>
                <c:ptCount val="12"/>
                <c:pt idx="0">
                  <c:v>167727.38</c:v>
                </c:pt>
                <c:pt idx="1">
                  <c:v>163732.45000000001</c:v>
                </c:pt>
                <c:pt idx="2">
                  <c:v>198436.5</c:v>
                </c:pt>
                <c:pt idx="3">
                  <c:v>153959.67999999999</c:v>
                </c:pt>
                <c:pt idx="4">
                  <c:v>224533.05</c:v>
                </c:pt>
                <c:pt idx="5">
                  <c:v>175650.19</c:v>
                </c:pt>
                <c:pt idx="6">
                  <c:v>154361.89000000001</c:v>
                </c:pt>
                <c:pt idx="7">
                  <c:v>182345.84</c:v>
                </c:pt>
                <c:pt idx="8">
                  <c:v>160865.34</c:v>
                </c:pt>
                <c:pt idx="9">
                  <c:v>155100.85</c:v>
                </c:pt>
                <c:pt idx="10">
                  <c:v>162824.54999999999</c:v>
                </c:pt>
                <c:pt idx="11">
                  <c:v>390321.03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'!$A$21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'!$B$21:$M$21</c:f>
              <c:numCache>
                <c:formatCode>"$"#,##0.00</c:formatCode>
                <c:ptCount val="12"/>
                <c:pt idx="0">
                  <c:v>655017.28</c:v>
                </c:pt>
                <c:pt idx="1">
                  <c:v>634067.76</c:v>
                </c:pt>
                <c:pt idx="2">
                  <c:v>544479.16</c:v>
                </c:pt>
                <c:pt idx="3">
                  <c:v>529052.53</c:v>
                </c:pt>
                <c:pt idx="4">
                  <c:v>659263.39999999991</c:v>
                </c:pt>
                <c:pt idx="5">
                  <c:v>658577.73</c:v>
                </c:pt>
                <c:pt idx="6">
                  <c:v>591688.92999999993</c:v>
                </c:pt>
                <c:pt idx="7">
                  <c:v>559699.9</c:v>
                </c:pt>
                <c:pt idx="8">
                  <c:v>513497.95000000007</c:v>
                </c:pt>
                <c:pt idx="9">
                  <c:v>479641.82000000007</c:v>
                </c:pt>
                <c:pt idx="10">
                  <c:v>641836.23</c:v>
                </c:pt>
                <c:pt idx="11">
                  <c:v>660825.65999999992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27896"/>
        <c:axId val="339735696"/>
      </c:lineChart>
      <c:catAx>
        <c:axId val="339727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35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973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27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'!$A$25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'!$B$25:$M$25</c:f>
              <c:numCache>
                <c:formatCode>"$"#,##0.00</c:formatCode>
                <c:ptCount val="12"/>
                <c:pt idx="0">
                  <c:v>371097.18</c:v>
                </c:pt>
                <c:pt idx="1">
                  <c:v>362359.56</c:v>
                </c:pt>
                <c:pt idx="2">
                  <c:v>315297.43</c:v>
                </c:pt>
                <c:pt idx="3">
                  <c:v>294199.37</c:v>
                </c:pt>
                <c:pt idx="4">
                  <c:v>295815.95</c:v>
                </c:pt>
                <c:pt idx="5">
                  <c:v>388999.08</c:v>
                </c:pt>
                <c:pt idx="6">
                  <c:v>341292.89</c:v>
                </c:pt>
                <c:pt idx="7">
                  <c:v>347126.85</c:v>
                </c:pt>
                <c:pt idx="8">
                  <c:v>348381.89999999997</c:v>
                </c:pt>
                <c:pt idx="9">
                  <c:v>349103.99</c:v>
                </c:pt>
                <c:pt idx="10">
                  <c:v>358358.12</c:v>
                </c:pt>
                <c:pt idx="11">
                  <c:v>448914.02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'!$A$26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'!$B$26:$M$26</c:f>
              <c:numCache>
                <c:formatCode>"$"#,##0.00</c:formatCode>
                <c:ptCount val="12"/>
                <c:pt idx="0">
                  <c:v>2467.33</c:v>
                </c:pt>
                <c:pt idx="1">
                  <c:v>1175.45</c:v>
                </c:pt>
                <c:pt idx="2">
                  <c:v>1055.8399999999999</c:v>
                </c:pt>
                <c:pt idx="3">
                  <c:v>3162.46</c:v>
                </c:pt>
                <c:pt idx="4">
                  <c:v>97739.04</c:v>
                </c:pt>
                <c:pt idx="5">
                  <c:v>47919.7</c:v>
                </c:pt>
                <c:pt idx="6">
                  <c:v>7425.04</c:v>
                </c:pt>
                <c:pt idx="7">
                  <c:v>6888.48</c:v>
                </c:pt>
                <c:pt idx="8">
                  <c:v>1278.45</c:v>
                </c:pt>
                <c:pt idx="9">
                  <c:v>10086.64</c:v>
                </c:pt>
                <c:pt idx="10">
                  <c:v>93149.87</c:v>
                </c:pt>
                <c:pt idx="11">
                  <c:v>51421.81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'!$A$27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'!$B$27:$M$27</c:f>
              <c:numCache>
                <c:formatCode>"$"#,##0.00</c:formatCode>
                <c:ptCount val="12"/>
                <c:pt idx="0">
                  <c:v>11204.95</c:v>
                </c:pt>
                <c:pt idx="1">
                  <c:v>48237.58</c:v>
                </c:pt>
                <c:pt idx="2">
                  <c:v>22153.9</c:v>
                </c:pt>
                <c:pt idx="3">
                  <c:v>1545.88</c:v>
                </c:pt>
                <c:pt idx="4">
                  <c:v>4555.91</c:v>
                </c:pt>
                <c:pt idx="5">
                  <c:v>95625.89</c:v>
                </c:pt>
                <c:pt idx="6">
                  <c:v>1591.08</c:v>
                </c:pt>
                <c:pt idx="7">
                  <c:v>5633.43</c:v>
                </c:pt>
                <c:pt idx="8">
                  <c:v>556.36</c:v>
                </c:pt>
                <c:pt idx="9">
                  <c:v>832.51</c:v>
                </c:pt>
                <c:pt idx="10">
                  <c:v>2593.9699999999998</c:v>
                </c:pt>
                <c:pt idx="11">
                  <c:v>39312.31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'!$A$28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'!$B$28:$M$28</c:f>
              <c:numCache>
                <c:formatCode>"$"#,##0.00</c:formatCode>
                <c:ptCount val="12"/>
                <c:pt idx="0">
                  <c:v>362359.56</c:v>
                </c:pt>
                <c:pt idx="1">
                  <c:v>315297.43</c:v>
                </c:pt>
                <c:pt idx="2">
                  <c:v>294199.37</c:v>
                </c:pt>
                <c:pt idx="3">
                  <c:v>295815.95</c:v>
                </c:pt>
                <c:pt idx="4">
                  <c:v>388999.08</c:v>
                </c:pt>
                <c:pt idx="5">
                  <c:v>341292.89</c:v>
                </c:pt>
                <c:pt idx="6">
                  <c:v>347126.85</c:v>
                </c:pt>
                <c:pt idx="7">
                  <c:v>348381.89999999997</c:v>
                </c:pt>
                <c:pt idx="8">
                  <c:v>349103.99</c:v>
                </c:pt>
                <c:pt idx="9">
                  <c:v>358358.12</c:v>
                </c:pt>
                <c:pt idx="10">
                  <c:v>448914.02</c:v>
                </c:pt>
                <c:pt idx="11">
                  <c:v>461023.52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738440"/>
        <c:axId val="339736872"/>
      </c:lineChart>
      <c:catAx>
        <c:axId val="33973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36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9736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738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'!$A$32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'!$B$32:$M$32</c:f>
              <c:numCache>
                <c:formatCode>"$"#,##0.00</c:formatCode>
                <c:ptCount val="12"/>
                <c:pt idx="0">
                  <c:v>461023.52</c:v>
                </c:pt>
                <c:pt idx="1">
                  <c:v>455151.68</c:v>
                </c:pt>
                <c:pt idx="2">
                  <c:v>431787.38</c:v>
                </c:pt>
                <c:pt idx="3">
                  <c:v>408423.78</c:v>
                </c:pt>
                <c:pt idx="4">
                  <c:v>405552.83</c:v>
                </c:pt>
                <c:pt idx="5">
                  <c:v>495386.6</c:v>
                </c:pt>
                <c:pt idx="6">
                  <c:v>440591.51</c:v>
                </c:pt>
                <c:pt idx="7">
                  <c:v>453276.82</c:v>
                </c:pt>
                <c:pt idx="8">
                  <c:v>424649.52</c:v>
                </c:pt>
                <c:pt idx="9">
                  <c:v>422610.42000000004</c:v>
                </c:pt>
                <c:pt idx="10">
                  <c:v>424703.47000000003</c:v>
                </c:pt>
                <c:pt idx="11">
                  <c:v>506304.36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'!$A$33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'!$B$33:$M$33</c:f>
              <c:numCache>
                <c:formatCode>"$"#,##0.00</c:formatCode>
                <c:ptCount val="12"/>
                <c:pt idx="0">
                  <c:v>4957.78</c:v>
                </c:pt>
                <c:pt idx="1">
                  <c:v>504.67</c:v>
                </c:pt>
                <c:pt idx="2">
                  <c:v>3092.18</c:v>
                </c:pt>
                <c:pt idx="3">
                  <c:v>5372.21</c:v>
                </c:pt>
                <c:pt idx="4">
                  <c:v>99410.48</c:v>
                </c:pt>
                <c:pt idx="5">
                  <c:v>48922.3</c:v>
                </c:pt>
                <c:pt idx="6">
                  <c:v>4819.37</c:v>
                </c:pt>
                <c:pt idx="7">
                  <c:v>5596.55</c:v>
                </c:pt>
                <c:pt idx="8">
                  <c:v>2606</c:v>
                </c:pt>
                <c:pt idx="9">
                  <c:v>7201.24</c:v>
                </c:pt>
                <c:pt idx="10">
                  <c:v>83172.03</c:v>
                </c:pt>
                <c:pt idx="11">
                  <c:v>50670.17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'!$A$34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'!$B$34:$M$34</c:f>
              <c:numCache>
                <c:formatCode>"$"#,##0.00</c:formatCode>
                <c:ptCount val="12"/>
                <c:pt idx="0">
                  <c:v>10829.62</c:v>
                </c:pt>
                <c:pt idx="1">
                  <c:v>23868.97</c:v>
                </c:pt>
                <c:pt idx="2">
                  <c:v>26455.78</c:v>
                </c:pt>
                <c:pt idx="3">
                  <c:v>8243.16</c:v>
                </c:pt>
                <c:pt idx="4">
                  <c:v>9576.7099999999991</c:v>
                </c:pt>
                <c:pt idx="5">
                  <c:v>103717.39</c:v>
                </c:pt>
                <c:pt idx="6">
                  <c:v>-7865.94</c:v>
                </c:pt>
                <c:pt idx="7">
                  <c:v>34223.85</c:v>
                </c:pt>
                <c:pt idx="8">
                  <c:v>4645.1000000000004</c:v>
                </c:pt>
                <c:pt idx="9">
                  <c:v>5108.1899999999996</c:v>
                </c:pt>
                <c:pt idx="10">
                  <c:v>1571.14</c:v>
                </c:pt>
                <c:pt idx="11">
                  <c:v>25990.76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'!$A$35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'!$B$35:$M$35</c:f>
              <c:numCache>
                <c:formatCode>"$"#,##0.00</c:formatCode>
                <c:ptCount val="12"/>
                <c:pt idx="0">
                  <c:v>455151.68000000005</c:v>
                </c:pt>
                <c:pt idx="1">
                  <c:v>431787.38</c:v>
                </c:pt>
                <c:pt idx="2">
                  <c:v>408423.78</c:v>
                </c:pt>
                <c:pt idx="3">
                  <c:v>405552.83000000007</c:v>
                </c:pt>
                <c:pt idx="4">
                  <c:v>495386.6</c:v>
                </c:pt>
                <c:pt idx="5">
                  <c:v>440591.51</c:v>
                </c:pt>
                <c:pt idx="6">
                  <c:v>453276.82</c:v>
                </c:pt>
                <c:pt idx="7">
                  <c:v>424649.52</c:v>
                </c:pt>
                <c:pt idx="8">
                  <c:v>422610.42000000004</c:v>
                </c:pt>
                <c:pt idx="9">
                  <c:v>424703.47000000003</c:v>
                </c:pt>
                <c:pt idx="10">
                  <c:v>506304.36</c:v>
                </c:pt>
                <c:pt idx="11">
                  <c:v>530983.77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81480"/>
        <c:axId val="339383832"/>
      </c:lineChart>
      <c:catAx>
        <c:axId val="339381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383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9383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381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'!$A$39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'!$B$39:$M$39</c:f>
              <c:numCache>
                <c:formatCode>"$"#,##0.00</c:formatCode>
                <c:ptCount val="12"/>
                <c:pt idx="0">
                  <c:v>531020.02</c:v>
                </c:pt>
                <c:pt idx="1">
                  <c:v>520773.8</c:v>
                </c:pt>
                <c:pt idx="2">
                  <c:v>513978.63</c:v>
                </c:pt>
                <c:pt idx="3">
                  <c:v>488481.93</c:v>
                </c:pt>
                <c:pt idx="4">
                  <c:v>492486.53</c:v>
                </c:pt>
                <c:pt idx="5">
                  <c:v>456118.68000000005</c:v>
                </c:pt>
                <c:pt idx="6">
                  <c:v>453328.59</c:v>
                </c:pt>
                <c:pt idx="7">
                  <c:v>449165.41000000003</c:v>
                </c:pt>
                <c:pt idx="8">
                  <c:v>457923.60000000003</c:v>
                </c:pt>
                <c:pt idx="9">
                  <c:v>390863.21000000008</c:v>
                </c:pt>
                <c:pt idx="10">
                  <c:v>408002.85000000009</c:v>
                </c:pt>
                <c:pt idx="11">
                  <c:v>502292.01000000013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'!$A$40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'!$B$40:$M$40</c:f>
              <c:numCache>
                <c:formatCode>"$"#,##0.00</c:formatCode>
                <c:ptCount val="12"/>
                <c:pt idx="0">
                  <c:v>790.41</c:v>
                </c:pt>
                <c:pt idx="1">
                  <c:v>-2199.12</c:v>
                </c:pt>
                <c:pt idx="2">
                  <c:v>3551.04</c:v>
                </c:pt>
                <c:pt idx="3">
                  <c:v>7999.93</c:v>
                </c:pt>
                <c:pt idx="4">
                  <c:v>104146.11</c:v>
                </c:pt>
                <c:pt idx="5">
                  <c:v>32911.589999999997</c:v>
                </c:pt>
                <c:pt idx="6">
                  <c:v>302.08</c:v>
                </c:pt>
                <c:pt idx="7">
                  <c:v>10997.19</c:v>
                </c:pt>
                <c:pt idx="8">
                  <c:v>1327.78</c:v>
                </c:pt>
                <c:pt idx="9">
                  <c:v>19101.14</c:v>
                </c:pt>
                <c:pt idx="10">
                  <c:v>96478.51</c:v>
                </c:pt>
                <c:pt idx="11">
                  <c:v>51428.65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'!$A$41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'!$B$41:$M$41</c:f>
              <c:numCache>
                <c:formatCode>"$"#,##0.00</c:formatCode>
                <c:ptCount val="12"/>
                <c:pt idx="0">
                  <c:v>11036.63</c:v>
                </c:pt>
                <c:pt idx="1">
                  <c:v>4596.05</c:v>
                </c:pt>
                <c:pt idx="2">
                  <c:v>29047.74</c:v>
                </c:pt>
                <c:pt idx="3">
                  <c:v>3995.33</c:v>
                </c:pt>
                <c:pt idx="4">
                  <c:v>140513.96</c:v>
                </c:pt>
                <c:pt idx="5">
                  <c:v>35701.68</c:v>
                </c:pt>
                <c:pt idx="6">
                  <c:v>4465.26</c:v>
                </c:pt>
                <c:pt idx="7">
                  <c:v>2239</c:v>
                </c:pt>
                <c:pt idx="8">
                  <c:v>68388.17</c:v>
                </c:pt>
                <c:pt idx="9">
                  <c:v>1961.5</c:v>
                </c:pt>
                <c:pt idx="10">
                  <c:v>2189.35</c:v>
                </c:pt>
                <c:pt idx="11">
                  <c:v>24731.49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'!$A$42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'!$B$42:$M$42</c:f>
              <c:numCache>
                <c:formatCode>"$"#,##0.00</c:formatCode>
                <c:ptCount val="12"/>
                <c:pt idx="0">
                  <c:v>520773.80000000005</c:v>
                </c:pt>
                <c:pt idx="1">
                  <c:v>513978.63</c:v>
                </c:pt>
                <c:pt idx="2">
                  <c:v>488481.93</c:v>
                </c:pt>
                <c:pt idx="3">
                  <c:v>492486.52999999997</c:v>
                </c:pt>
                <c:pt idx="4">
                  <c:v>456118.68000000005</c:v>
                </c:pt>
                <c:pt idx="5">
                  <c:v>453328.59</c:v>
                </c:pt>
                <c:pt idx="6">
                  <c:v>449165.41000000003</c:v>
                </c:pt>
                <c:pt idx="7">
                  <c:v>457923.60000000003</c:v>
                </c:pt>
                <c:pt idx="8">
                  <c:v>390863.21000000008</c:v>
                </c:pt>
                <c:pt idx="9">
                  <c:v>408002.85000000009</c:v>
                </c:pt>
                <c:pt idx="10">
                  <c:v>502292.01000000013</c:v>
                </c:pt>
                <c:pt idx="11">
                  <c:v>528989.17000000016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85008"/>
        <c:axId val="339384224"/>
      </c:lineChart>
      <c:catAx>
        <c:axId val="33938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3842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938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38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05-06</a:t>
            </a:r>
          </a:p>
        </c:rich>
      </c:tx>
      <c:layout>
        <c:manualLayout>
          <c:xMode val="edge"/>
          <c:yMode val="edge"/>
          <c:x val="0.333333868980671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7104205038606"/>
          <c:y val="0.23426613422294273"/>
          <c:w val="0.47278990086546013"/>
          <c:h val="0.67482632694070865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'!$A$46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'!$B$46:$M$46</c:f>
              <c:numCache>
                <c:formatCode>"$"#,##0.00</c:formatCode>
                <c:ptCount val="12"/>
                <c:pt idx="0">
                  <c:v>6887.46</c:v>
                </c:pt>
                <c:pt idx="1">
                  <c:v>-10048.450000000001</c:v>
                </c:pt>
                <c:pt idx="2">
                  <c:v>-6924.72</c:v>
                </c:pt>
                <c:pt idx="3">
                  <c:v>6548.92</c:v>
                </c:pt>
                <c:pt idx="4">
                  <c:v>-2890.2</c:v>
                </c:pt>
                <c:pt idx="5">
                  <c:v>1142.8900000000001</c:v>
                </c:pt>
                <c:pt idx="6">
                  <c:v>964.54999999999927</c:v>
                </c:pt>
                <c:pt idx="7">
                  <c:v>-775.20000000000073</c:v>
                </c:pt>
                <c:pt idx="8">
                  <c:v>3384.7599999999993</c:v>
                </c:pt>
                <c:pt idx="9">
                  <c:v>4408.1900000000005</c:v>
                </c:pt>
                <c:pt idx="10">
                  <c:v>5981</c:v>
                </c:pt>
                <c:pt idx="11">
                  <c:v>6012.76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'!$A$47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'!$B$47:$M$47</c:f>
              <c:numCache>
                <c:formatCode>"$"#,##0.00</c:formatCode>
                <c:ptCount val="12"/>
                <c:pt idx="0">
                  <c:v>3925.27</c:v>
                </c:pt>
                <c:pt idx="1">
                  <c:v>10050</c:v>
                </c:pt>
                <c:pt idx="2">
                  <c:v>8064.18</c:v>
                </c:pt>
                <c:pt idx="3">
                  <c:v>4763.3</c:v>
                </c:pt>
                <c:pt idx="4">
                  <c:v>15405.64</c:v>
                </c:pt>
                <c:pt idx="5">
                  <c:v>11242.21</c:v>
                </c:pt>
                <c:pt idx="6">
                  <c:v>9394.4599999999991</c:v>
                </c:pt>
                <c:pt idx="7">
                  <c:v>7452.05</c:v>
                </c:pt>
                <c:pt idx="8">
                  <c:v>12301.31</c:v>
                </c:pt>
                <c:pt idx="9">
                  <c:v>12367.1</c:v>
                </c:pt>
                <c:pt idx="10">
                  <c:v>10709.25</c:v>
                </c:pt>
                <c:pt idx="11">
                  <c:v>10323.41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'!$A$48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'!$B$48:$M$48</c:f>
              <c:numCache>
                <c:formatCode>"$"#,##0.00</c:formatCode>
                <c:ptCount val="12"/>
                <c:pt idx="0">
                  <c:v>20861.18</c:v>
                </c:pt>
                <c:pt idx="1">
                  <c:v>6926.27</c:v>
                </c:pt>
                <c:pt idx="2">
                  <c:v>6865.42</c:v>
                </c:pt>
                <c:pt idx="3">
                  <c:v>14202.42</c:v>
                </c:pt>
                <c:pt idx="4">
                  <c:v>11372.55</c:v>
                </c:pt>
                <c:pt idx="5">
                  <c:v>11420.55</c:v>
                </c:pt>
                <c:pt idx="6">
                  <c:v>11134.21</c:v>
                </c:pt>
                <c:pt idx="7">
                  <c:v>3292.09</c:v>
                </c:pt>
                <c:pt idx="8">
                  <c:v>11277.88</c:v>
                </c:pt>
                <c:pt idx="9">
                  <c:v>10794.29</c:v>
                </c:pt>
                <c:pt idx="10">
                  <c:v>10677.49</c:v>
                </c:pt>
                <c:pt idx="11">
                  <c:v>9869.68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'!$A$49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'!$B$49:$M$49</c:f>
              <c:numCache>
                <c:formatCode>"$"#,##0.00</c:formatCode>
                <c:ptCount val="12"/>
                <c:pt idx="0">
                  <c:v>-10048.450000000001</c:v>
                </c:pt>
                <c:pt idx="1">
                  <c:v>-6924.7200000000012</c:v>
                </c:pt>
                <c:pt idx="2">
                  <c:v>-5725.96</c:v>
                </c:pt>
                <c:pt idx="3">
                  <c:v>-2890.1999999999989</c:v>
                </c:pt>
                <c:pt idx="4">
                  <c:v>1142.8899999999994</c:v>
                </c:pt>
                <c:pt idx="5">
                  <c:v>964.54999999999927</c:v>
                </c:pt>
                <c:pt idx="6">
                  <c:v>-775.20000000000073</c:v>
                </c:pt>
                <c:pt idx="7">
                  <c:v>3384.7599999999993</c:v>
                </c:pt>
                <c:pt idx="8">
                  <c:v>4408.1900000000005</c:v>
                </c:pt>
                <c:pt idx="9">
                  <c:v>5981</c:v>
                </c:pt>
                <c:pt idx="10">
                  <c:v>6012.76</c:v>
                </c:pt>
                <c:pt idx="11">
                  <c:v>6466.49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81872"/>
        <c:axId val="339867320"/>
      </c:lineChart>
      <c:dateAx>
        <c:axId val="3393818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86732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339867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381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027318013819693"/>
          <c:y val="0.41608465025788555"/>
          <c:w val="0.98639616476510716"/>
          <c:h val="0.7517497200961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06-07</a:t>
            </a:r>
          </a:p>
        </c:rich>
      </c:tx>
      <c:layout>
        <c:manualLayout>
          <c:xMode val="edge"/>
          <c:yMode val="edge"/>
          <c:x val="0.33390119250426487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986371379888"/>
          <c:y val="0.23655996779782862"/>
          <c:w val="0.48211243611584897"/>
          <c:h val="0.6738374840301837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'!$A$53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'!$B$53:$M$53</c:f>
              <c:numCache>
                <c:formatCode>"$"#,##0.00</c:formatCode>
                <c:ptCount val="12"/>
                <c:pt idx="0">
                  <c:v>6466.49</c:v>
                </c:pt>
                <c:pt idx="1">
                  <c:v>2501.2399999999998</c:v>
                </c:pt>
                <c:pt idx="2">
                  <c:v>-4380.8500000000004</c:v>
                </c:pt>
                <c:pt idx="3">
                  <c:v>-235.91</c:v>
                </c:pt>
                <c:pt idx="4">
                  <c:v>-8212.3799999999992</c:v>
                </c:pt>
                <c:pt idx="5">
                  <c:v>-849.57999999999811</c:v>
                </c:pt>
                <c:pt idx="6">
                  <c:v>1268.0800000000017</c:v>
                </c:pt>
                <c:pt idx="7">
                  <c:v>2078.6800000000021</c:v>
                </c:pt>
                <c:pt idx="8">
                  <c:v>6225.4800000000014</c:v>
                </c:pt>
                <c:pt idx="9">
                  <c:v>9288.010000000002</c:v>
                </c:pt>
                <c:pt idx="10">
                  <c:v>10003.100000000004</c:v>
                </c:pt>
                <c:pt idx="11">
                  <c:v>11260.820000000003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'!$A$54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'!$B$54:$M$54</c:f>
              <c:numCache>
                <c:formatCode>"$"#,##0.00</c:formatCode>
                <c:ptCount val="12"/>
                <c:pt idx="0">
                  <c:v>4791.82</c:v>
                </c:pt>
                <c:pt idx="1">
                  <c:v>0</c:v>
                </c:pt>
                <c:pt idx="2">
                  <c:v>9696.9</c:v>
                </c:pt>
                <c:pt idx="3">
                  <c:v>5328.35</c:v>
                </c:pt>
                <c:pt idx="4">
                  <c:v>18340.18</c:v>
                </c:pt>
                <c:pt idx="5">
                  <c:v>13848.22</c:v>
                </c:pt>
                <c:pt idx="6">
                  <c:v>11391.25</c:v>
                </c:pt>
                <c:pt idx="7">
                  <c:v>14377.29</c:v>
                </c:pt>
                <c:pt idx="8">
                  <c:v>14085.6</c:v>
                </c:pt>
                <c:pt idx="9">
                  <c:v>11973.47</c:v>
                </c:pt>
                <c:pt idx="10">
                  <c:v>13164.65</c:v>
                </c:pt>
                <c:pt idx="11">
                  <c:v>11460.65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'!$A$55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'!$B$55:$M$55</c:f>
              <c:numCache>
                <c:formatCode>"$"#,##0.00</c:formatCode>
                <c:ptCount val="12"/>
                <c:pt idx="0">
                  <c:v>19991.91</c:v>
                </c:pt>
                <c:pt idx="1">
                  <c:v>6882.09</c:v>
                </c:pt>
                <c:pt idx="2">
                  <c:v>5551.96</c:v>
                </c:pt>
                <c:pt idx="3">
                  <c:v>13304.82</c:v>
                </c:pt>
                <c:pt idx="4">
                  <c:v>10977.38</c:v>
                </c:pt>
                <c:pt idx="5">
                  <c:v>11730.56</c:v>
                </c:pt>
                <c:pt idx="6">
                  <c:v>10580.65</c:v>
                </c:pt>
                <c:pt idx="7">
                  <c:v>10230.49</c:v>
                </c:pt>
                <c:pt idx="8">
                  <c:v>11023.07</c:v>
                </c:pt>
                <c:pt idx="9">
                  <c:v>11258.38</c:v>
                </c:pt>
                <c:pt idx="10">
                  <c:v>11906.93</c:v>
                </c:pt>
                <c:pt idx="11">
                  <c:v>10986.04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'!$A$56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'!$B$56:$M$56</c:f>
              <c:numCache>
                <c:formatCode>"$"#,##0.00</c:formatCode>
                <c:ptCount val="12"/>
                <c:pt idx="0">
                  <c:v>-8733.6</c:v>
                </c:pt>
                <c:pt idx="1">
                  <c:v>-4380.8500000000004</c:v>
                </c:pt>
                <c:pt idx="2">
                  <c:v>-235.91000000000076</c:v>
                </c:pt>
                <c:pt idx="3">
                  <c:v>-8212.3799999999992</c:v>
                </c:pt>
                <c:pt idx="4">
                  <c:v>-849.57999999999811</c:v>
                </c:pt>
                <c:pt idx="5">
                  <c:v>1268.0800000000017</c:v>
                </c:pt>
                <c:pt idx="6">
                  <c:v>2078.6800000000021</c:v>
                </c:pt>
                <c:pt idx="7">
                  <c:v>6225.4800000000014</c:v>
                </c:pt>
                <c:pt idx="8">
                  <c:v>9288.010000000002</c:v>
                </c:pt>
                <c:pt idx="9">
                  <c:v>10003.100000000004</c:v>
                </c:pt>
                <c:pt idx="10">
                  <c:v>11260.820000000003</c:v>
                </c:pt>
                <c:pt idx="11">
                  <c:v>11735.43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68104"/>
        <c:axId val="339867712"/>
      </c:lineChart>
      <c:dateAx>
        <c:axId val="3398681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86771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3986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868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24531516183984"/>
          <c:y val="0.42294057328856144"/>
          <c:w val="0.98637137989778456"/>
          <c:h val="0.72760120038760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07-08</a:t>
            </a:r>
          </a:p>
        </c:rich>
      </c:tx>
      <c:layout>
        <c:manualLayout>
          <c:xMode val="edge"/>
          <c:yMode val="edge"/>
          <c:x val="0.33668394465767837"/>
          <c:y val="3.7162162162162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0464006988076"/>
          <c:y val="0.22635135135135134"/>
          <c:w val="0.46733744787977632"/>
          <c:h val="0.6858108108108116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'!$A$60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'!$B$60:$M$60</c:f>
              <c:numCache>
                <c:formatCode>"$"#,##0.00</c:formatCode>
                <c:ptCount val="12"/>
                <c:pt idx="0">
                  <c:v>7949.93</c:v>
                </c:pt>
                <c:pt idx="1">
                  <c:v>1784.2300000000005</c:v>
                </c:pt>
                <c:pt idx="2">
                  <c:v>5068.5300000000007</c:v>
                </c:pt>
                <c:pt idx="3">
                  <c:v>-9957.24</c:v>
                </c:pt>
                <c:pt idx="4">
                  <c:v>2176</c:v>
                </c:pt>
                <c:pt idx="5">
                  <c:v>-7237.9600000000009</c:v>
                </c:pt>
                <c:pt idx="6">
                  <c:v>-5765.15</c:v>
                </c:pt>
                <c:pt idx="7">
                  <c:v>3311.6000000000004</c:v>
                </c:pt>
                <c:pt idx="8">
                  <c:v>5336.8000000000029</c:v>
                </c:pt>
                <c:pt idx="9">
                  <c:v>7386.8800000000028</c:v>
                </c:pt>
                <c:pt idx="10">
                  <c:v>7383.7300000000014</c:v>
                </c:pt>
                <c:pt idx="11">
                  <c:v>9701.08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'!$A$61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'!$B$61:$M$61</c:f>
              <c:numCache>
                <c:formatCode>"$"#,##0.00</c:formatCode>
                <c:ptCount val="12"/>
                <c:pt idx="0">
                  <c:v>0</c:v>
                </c:pt>
                <c:pt idx="1">
                  <c:v>-817.63</c:v>
                </c:pt>
                <c:pt idx="2">
                  <c:v>9223.59</c:v>
                </c:pt>
                <c:pt idx="3">
                  <c:v>20985.360000000001</c:v>
                </c:pt>
                <c:pt idx="4">
                  <c:v>9858.65</c:v>
                </c:pt>
                <c:pt idx="5">
                  <c:v>14612.86</c:v>
                </c:pt>
                <c:pt idx="6">
                  <c:v>20781.66</c:v>
                </c:pt>
                <c:pt idx="7">
                  <c:v>15736.2</c:v>
                </c:pt>
                <c:pt idx="8">
                  <c:v>13752.43</c:v>
                </c:pt>
                <c:pt idx="9">
                  <c:v>14002.91</c:v>
                </c:pt>
                <c:pt idx="10">
                  <c:v>11019.95</c:v>
                </c:pt>
                <c:pt idx="11">
                  <c:v>3958.18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'!$A$62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'!$B$62:$M$62</c:f>
              <c:numCache>
                <c:formatCode>"$"#,##0.00</c:formatCode>
                <c:ptCount val="12"/>
                <c:pt idx="0">
                  <c:v>6165.7</c:v>
                </c:pt>
                <c:pt idx="1">
                  <c:v>-4101.93</c:v>
                </c:pt>
                <c:pt idx="2">
                  <c:v>24249.360000000001</c:v>
                </c:pt>
                <c:pt idx="3">
                  <c:v>8852.1200000000008</c:v>
                </c:pt>
                <c:pt idx="4">
                  <c:v>19272.61</c:v>
                </c:pt>
                <c:pt idx="5">
                  <c:v>13140.05</c:v>
                </c:pt>
                <c:pt idx="6">
                  <c:v>11704.91</c:v>
                </c:pt>
                <c:pt idx="7">
                  <c:v>13711</c:v>
                </c:pt>
                <c:pt idx="8">
                  <c:v>11702.35</c:v>
                </c:pt>
                <c:pt idx="9">
                  <c:v>14006.06</c:v>
                </c:pt>
                <c:pt idx="10">
                  <c:v>8702.6</c:v>
                </c:pt>
                <c:pt idx="11">
                  <c:v>21172.2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'!$A$63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'!$B$63:$M$63</c:f>
              <c:numCache>
                <c:formatCode>"$"#,##0.00</c:formatCode>
                <c:ptCount val="12"/>
                <c:pt idx="0">
                  <c:v>1784.2300000000005</c:v>
                </c:pt>
                <c:pt idx="1">
                  <c:v>5068.5300000000007</c:v>
                </c:pt>
                <c:pt idx="2">
                  <c:v>-9957.24</c:v>
                </c:pt>
                <c:pt idx="3">
                  <c:v>2176</c:v>
                </c:pt>
                <c:pt idx="4">
                  <c:v>-7237.9600000000009</c:v>
                </c:pt>
                <c:pt idx="5">
                  <c:v>-5765.15</c:v>
                </c:pt>
                <c:pt idx="6">
                  <c:v>3311.6000000000004</c:v>
                </c:pt>
                <c:pt idx="7">
                  <c:v>5336.8000000000029</c:v>
                </c:pt>
                <c:pt idx="8">
                  <c:v>7386.8800000000028</c:v>
                </c:pt>
                <c:pt idx="9">
                  <c:v>7383.7300000000014</c:v>
                </c:pt>
                <c:pt idx="10">
                  <c:v>9701.08</c:v>
                </c:pt>
                <c:pt idx="11">
                  <c:v>-7512.9400000000005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82656"/>
        <c:axId val="339869280"/>
      </c:lineChart>
      <c:dateAx>
        <c:axId val="3393826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86928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33986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9382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0931824476717"/>
          <c:y val="0.41891891891892397"/>
          <c:w val="0.986601247708358"/>
          <c:h val="0.7195945945946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381000</xdr:colOff>
      <xdr:row>17</xdr:row>
      <xdr:rowOff>76200</xdr:rowOff>
    </xdr:to>
    <xdr:graphicFrame macro="">
      <xdr:nvGraphicFramePr>
        <xdr:cNvPr id="105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8</xdr:col>
      <xdr:colOff>400050</xdr:colOff>
      <xdr:row>35</xdr:row>
      <xdr:rowOff>85725</xdr:rowOff>
    </xdr:to>
    <xdr:graphicFrame macro="">
      <xdr:nvGraphicFramePr>
        <xdr:cNvPr id="105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37</xdr:row>
      <xdr:rowOff>47625</xdr:rowOff>
    </xdr:from>
    <xdr:to>
      <xdr:col>8</xdr:col>
      <xdr:colOff>438150</xdr:colOff>
      <xdr:row>53</xdr:row>
      <xdr:rowOff>95250</xdr:rowOff>
    </xdr:to>
    <xdr:graphicFrame macro="">
      <xdr:nvGraphicFramePr>
        <xdr:cNvPr id="1052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28575</xdr:rowOff>
    </xdr:from>
    <xdr:to>
      <xdr:col>16</xdr:col>
      <xdr:colOff>428625</xdr:colOff>
      <xdr:row>17</xdr:row>
      <xdr:rowOff>76200</xdr:rowOff>
    </xdr:to>
    <xdr:graphicFrame macro="">
      <xdr:nvGraphicFramePr>
        <xdr:cNvPr id="1052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19</xdr:row>
      <xdr:rowOff>66675</xdr:rowOff>
    </xdr:from>
    <xdr:to>
      <xdr:col>16</xdr:col>
      <xdr:colOff>466725</xdr:colOff>
      <xdr:row>35</xdr:row>
      <xdr:rowOff>114300</xdr:rowOff>
    </xdr:to>
    <xdr:graphicFrame macro="">
      <xdr:nvGraphicFramePr>
        <xdr:cNvPr id="1052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37</xdr:row>
      <xdr:rowOff>28575</xdr:rowOff>
    </xdr:from>
    <xdr:to>
      <xdr:col>16</xdr:col>
      <xdr:colOff>495300</xdr:colOff>
      <xdr:row>53</xdr:row>
      <xdr:rowOff>76200</xdr:rowOff>
    </xdr:to>
    <xdr:graphicFrame macro="">
      <xdr:nvGraphicFramePr>
        <xdr:cNvPr id="105204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200025</xdr:colOff>
      <xdr:row>16</xdr:row>
      <xdr:rowOff>152400</xdr:rowOff>
    </xdr:to>
    <xdr:graphicFrame macro="">
      <xdr:nvGraphicFramePr>
        <xdr:cNvPr id="1052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47625</xdr:colOff>
      <xdr:row>17</xdr:row>
      <xdr:rowOff>133350</xdr:rowOff>
    </xdr:from>
    <xdr:to>
      <xdr:col>27</xdr:col>
      <xdr:colOff>152400</xdr:colOff>
      <xdr:row>34</xdr:row>
      <xdr:rowOff>38100</xdr:rowOff>
    </xdr:to>
    <xdr:graphicFrame macro="">
      <xdr:nvGraphicFramePr>
        <xdr:cNvPr id="10520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35</xdr:row>
      <xdr:rowOff>0</xdr:rowOff>
    </xdr:from>
    <xdr:to>
      <xdr:col>27</xdr:col>
      <xdr:colOff>180975</xdr:colOff>
      <xdr:row>52</xdr:row>
      <xdr:rowOff>66675</xdr:rowOff>
    </xdr:to>
    <xdr:graphicFrame macro="">
      <xdr:nvGraphicFramePr>
        <xdr:cNvPr id="10520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23.85546875" customWidth="1"/>
    <col min="2" max="2" width="13.85546875" customWidth="1"/>
    <col min="3" max="3" width="5.28515625" customWidth="1"/>
    <col min="4" max="4" width="13.85546875" customWidth="1"/>
    <col min="5" max="5" width="3.5703125" customWidth="1"/>
    <col min="6" max="6" width="16.28515625" customWidth="1"/>
    <col min="7" max="7" width="2.5703125" customWidth="1"/>
    <col min="8" max="8" width="13.28515625" customWidth="1"/>
    <col min="9" max="9" width="1.85546875" customWidth="1"/>
    <col min="10" max="10" width="11.28515625" customWidth="1"/>
    <col min="11" max="11" width="3" customWidth="1"/>
    <col min="12" max="12" width="14.7109375" customWidth="1"/>
    <col min="13" max="13" width="2.85546875" customWidth="1"/>
    <col min="14" max="14" width="14.140625" customWidth="1"/>
    <col min="15" max="15" width="11.140625" customWidth="1"/>
    <col min="17" max="17" width="11.5703125" customWidth="1"/>
  </cols>
  <sheetData>
    <row r="1" spans="1:19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19" x14ac:dyDescent="0.2">
      <c r="A2" s="4">
        <v>42917</v>
      </c>
    </row>
    <row r="3" spans="1:19" x14ac:dyDescent="0.2">
      <c r="A3" s="1" t="s">
        <v>7</v>
      </c>
      <c r="B3" s="3">
        <v>504944.67</v>
      </c>
      <c r="C3" s="3"/>
      <c r="D3" s="3">
        <v>947973.94</v>
      </c>
      <c r="E3" s="3"/>
      <c r="F3" s="3">
        <v>218509.66</v>
      </c>
      <c r="G3" s="3"/>
      <c r="H3" s="3">
        <v>157477.82</v>
      </c>
      <c r="I3" s="3"/>
      <c r="J3" s="3">
        <v>0</v>
      </c>
      <c r="K3" s="3"/>
      <c r="L3" s="3">
        <v>41632.160000000003</v>
      </c>
      <c r="M3" s="3"/>
      <c r="N3" s="3">
        <v>4404.63</v>
      </c>
    </row>
    <row r="4" spans="1:19" x14ac:dyDescent="0.2">
      <c r="A4" s="5" t="s">
        <v>8</v>
      </c>
      <c r="B4" s="3">
        <v>122504.43</v>
      </c>
      <c r="C4" s="3"/>
      <c r="D4" s="3">
        <v>1687.63</v>
      </c>
      <c r="E4" s="3"/>
      <c r="F4" s="3">
        <v>1175.79</v>
      </c>
      <c r="G4" s="3"/>
      <c r="H4" s="3">
        <v>0</v>
      </c>
      <c r="I4" s="3"/>
      <c r="J4" s="3">
        <v>0</v>
      </c>
      <c r="K4" s="3"/>
      <c r="L4" s="3">
        <v>0</v>
      </c>
      <c r="M4" s="3"/>
      <c r="N4" s="3">
        <v>0</v>
      </c>
    </row>
    <row r="5" spans="1:19" x14ac:dyDescent="0.2">
      <c r="A5" s="5" t="s">
        <v>9</v>
      </c>
      <c r="B5" s="3">
        <v>221543.71</v>
      </c>
      <c r="C5" s="3"/>
      <c r="D5" s="3">
        <v>243389.28</v>
      </c>
      <c r="E5" s="3"/>
      <c r="F5" s="3">
        <v>34706.6</v>
      </c>
      <c r="G5" s="3"/>
      <c r="H5" s="3">
        <v>17500</v>
      </c>
      <c r="I5" s="3"/>
      <c r="J5" s="3">
        <v>0</v>
      </c>
      <c r="K5" s="3"/>
      <c r="L5" s="3">
        <v>8159.68</v>
      </c>
      <c r="M5" s="3"/>
      <c r="N5" s="3">
        <v>2077.34</v>
      </c>
    </row>
    <row r="6" spans="1:19" x14ac:dyDescent="0.2">
      <c r="A6" s="1" t="s">
        <v>10</v>
      </c>
      <c r="B6" s="3">
        <f>SUM(B3+B4-B5)</f>
        <v>405905.39</v>
      </c>
      <c r="C6" s="3"/>
      <c r="D6" s="3">
        <f>SUM(D3+D4-D5)</f>
        <v>706272.28999999992</v>
      </c>
      <c r="E6" s="3"/>
      <c r="F6" s="3">
        <f>SUM(F3+F4-F5)</f>
        <v>184978.85</v>
      </c>
      <c r="G6" s="3"/>
      <c r="H6" s="3">
        <f>SUM(H3+H4-H5)</f>
        <v>139977.82</v>
      </c>
      <c r="I6" s="3"/>
      <c r="J6" s="3">
        <f>SUM(J3+J4-J5)</f>
        <v>0</v>
      </c>
      <c r="K6" s="3"/>
      <c r="L6" s="3">
        <f>SUM(L3+L4-L5)</f>
        <v>33472.480000000003</v>
      </c>
      <c r="M6" s="3"/>
      <c r="N6" s="3">
        <f>SUM(N3+N4-N5)</f>
        <v>2327.29</v>
      </c>
    </row>
    <row r="7" spans="1:19" x14ac:dyDescent="0.2">
      <c r="A7" s="4">
        <v>42948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9" x14ac:dyDescent="0.2">
      <c r="A8" s="1" t="s">
        <v>7</v>
      </c>
      <c r="B8" s="3">
        <v>405905.39</v>
      </c>
      <c r="C8" s="3"/>
      <c r="D8" s="3">
        <v>706272.29</v>
      </c>
      <c r="E8" s="3"/>
      <c r="F8" s="3">
        <v>184978.85</v>
      </c>
      <c r="G8" s="3"/>
      <c r="H8" s="3">
        <v>139977.82</v>
      </c>
      <c r="I8" s="3"/>
      <c r="J8" s="3">
        <v>0</v>
      </c>
      <c r="K8" s="3"/>
      <c r="L8" s="3">
        <v>33472.480000000003</v>
      </c>
      <c r="M8" s="3"/>
      <c r="N8" s="3">
        <v>2327.29</v>
      </c>
    </row>
    <row r="9" spans="1:19" x14ac:dyDescent="0.2">
      <c r="A9" s="5" t="s">
        <v>8</v>
      </c>
      <c r="B9" s="3">
        <v>112853.01</v>
      </c>
      <c r="C9" s="3"/>
      <c r="D9" s="3">
        <v>1631.01</v>
      </c>
      <c r="E9" s="3"/>
      <c r="F9" s="3">
        <v>1050.8800000000001</v>
      </c>
      <c r="G9" s="3"/>
      <c r="H9" s="3">
        <v>0.89</v>
      </c>
      <c r="I9" s="3"/>
      <c r="J9" s="3">
        <v>0</v>
      </c>
      <c r="K9" s="3"/>
      <c r="L9" s="3">
        <v>16891.2</v>
      </c>
      <c r="M9" s="3"/>
      <c r="N9" s="3">
        <v>0</v>
      </c>
    </row>
    <row r="10" spans="1:19" x14ac:dyDescent="0.2">
      <c r="A10" s="5" t="s">
        <v>9</v>
      </c>
      <c r="B10" s="3">
        <v>232426.15</v>
      </c>
      <c r="C10" s="3"/>
      <c r="D10" s="3">
        <v>117351.12</v>
      </c>
      <c r="E10" s="3"/>
      <c r="F10" s="3">
        <v>26603.58</v>
      </c>
      <c r="G10" s="3"/>
      <c r="H10" s="3">
        <v>0</v>
      </c>
      <c r="I10" s="3"/>
      <c r="J10" s="3">
        <v>0</v>
      </c>
      <c r="K10" s="3"/>
      <c r="L10" s="3">
        <v>14050.76</v>
      </c>
      <c r="M10" s="3"/>
      <c r="N10" s="3">
        <v>1193.33</v>
      </c>
    </row>
    <row r="11" spans="1:19" x14ac:dyDescent="0.2">
      <c r="A11" s="1" t="s">
        <v>10</v>
      </c>
      <c r="B11" s="3">
        <f>SUM(B8+B9-B10)</f>
        <v>286332.25</v>
      </c>
      <c r="C11" s="3"/>
      <c r="D11" s="3">
        <f>SUM(D8+D9-D10)</f>
        <v>590552.18000000005</v>
      </c>
      <c r="E11" s="3"/>
      <c r="F11" s="3">
        <f>SUM(F8+F9-F10)</f>
        <v>159426.15000000002</v>
      </c>
      <c r="G11" s="3"/>
      <c r="H11" s="3">
        <f>SUM(H8+H9-H10)</f>
        <v>139978.71000000002</v>
      </c>
      <c r="I11" s="3"/>
      <c r="J11" s="3">
        <f>SUM(J8+J9-J10)</f>
        <v>0</v>
      </c>
      <c r="K11" s="3"/>
      <c r="L11" s="3">
        <f>SUM(L8+L9-L10)</f>
        <v>36312.920000000006</v>
      </c>
      <c r="M11" s="3"/>
      <c r="N11" s="3">
        <f>SUM(N8+N9-N10)</f>
        <v>1133.96</v>
      </c>
    </row>
    <row r="12" spans="1:19" x14ac:dyDescent="0.2">
      <c r="A12" s="4">
        <v>42979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9" x14ac:dyDescent="0.2">
      <c r="A13" s="1" t="s">
        <v>7</v>
      </c>
      <c r="B13" s="3">
        <v>286332.25</v>
      </c>
      <c r="C13" s="3"/>
      <c r="D13" s="3">
        <v>590552.18000000005</v>
      </c>
      <c r="E13" s="3"/>
      <c r="F13" s="3">
        <v>159426.15</v>
      </c>
      <c r="G13" s="3"/>
      <c r="H13" s="3">
        <v>139978.71</v>
      </c>
      <c r="I13" s="3"/>
      <c r="J13" s="3">
        <v>0</v>
      </c>
      <c r="K13" s="3"/>
      <c r="L13" s="3">
        <v>36312.92</v>
      </c>
      <c r="M13" s="3"/>
      <c r="N13" s="3">
        <v>1133.96</v>
      </c>
    </row>
    <row r="14" spans="1:19" x14ac:dyDescent="0.2">
      <c r="A14" s="1" t="s">
        <v>46</v>
      </c>
      <c r="B14" s="3">
        <v>45490.52</v>
      </c>
      <c r="C14" s="3"/>
      <c r="D14" s="3"/>
      <c r="E14" s="3"/>
      <c r="F14" s="3">
        <v>34824.07</v>
      </c>
      <c r="G14" s="3"/>
      <c r="H14" s="3"/>
      <c r="I14" s="3"/>
      <c r="J14" s="3">
        <v>0</v>
      </c>
      <c r="K14" s="3"/>
      <c r="L14" s="3">
        <v>10666.45</v>
      </c>
      <c r="M14" s="3"/>
      <c r="N14" s="3"/>
    </row>
    <row r="15" spans="1:19" x14ac:dyDescent="0.2">
      <c r="A15" s="5" t="s">
        <v>8</v>
      </c>
      <c r="B15" s="3">
        <v>55143.8</v>
      </c>
      <c r="C15" s="3"/>
      <c r="D15" s="3">
        <v>826.38</v>
      </c>
      <c r="E15" s="3"/>
      <c r="F15" s="3">
        <v>424.35</v>
      </c>
      <c r="G15" s="3"/>
      <c r="H15" s="3">
        <v>0</v>
      </c>
      <c r="I15" s="3"/>
      <c r="J15" s="3">
        <v>0</v>
      </c>
      <c r="K15" s="3"/>
      <c r="L15" s="3">
        <v>13810.39</v>
      </c>
      <c r="M15" s="3"/>
      <c r="N15" s="3">
        <v>0</v>
      </c>
    </row>
    <row r="16" spans="1:19" x14ac:dyDescent="0.2">
      <c r="A16" s="5" t="s">
        <v>9</v>
      </c>
      <c r="B16" s="3">
        <v>234318.36</v>
      </c>
      <c r="C16" s="3"/>
      <c r="D16" s="3">
        <v>2284.25</v>
      </c>
      <c r="E16" s="3"/>
      <c r="F16" s="3">
        <v>38956.42</v>
      </c>
      <c r="G16" s="3"/>
      <c r="H16" s="3">
        <v>0</v>
      </c>
      <c r="I16" s="3"/>
      <c r="J16" s="3">
        <v>0</v>
      </c>
      <c r="K16" s="3"/>
      <c r="L16" s="3">
        <v>24585.46</v>
      </c>
      <c r="M16" s="3"/>
      <c r="N16" s="3">
        <v>0</v>
      </c>
    </row>
    <row r="17" spans="1:14" x14ac:dyDescent="0.2">
      <c r="A17" s="1" t="s">
        <v>10</v>
      </c>
      <c r="B17" s="3">
        <f>SUM(B13+B14+B15-B16)</f>
        <v>152648.21000000002</v>
      </c>
      <c r="C17" s="3"/>
      <c r="D17" s="3">
        <f>SUM(D13+D15-D16)</f>
        <v>589094.31000000006</v>
      </c>
      <c r="E17" s="3"/>
      <c r="F17" s="3">
        <f>SUM(F13-F14+F15-F16)</f>
        <v>86070.01</v>
      </c>
      <c r="G17" s="3"/>
      <c r="H17" s="3">
        <f>SUM(H13+H15-H16)</f>
        <v>139978.71</v>
      </c>
      <c r="I17" s="3"/>
      <c r="J17" s="3">
        <f>SUM(J13+J15-J16)</f>
        <v>0</v>
      </c>
      <c r="K17" s="3"/>
      <c r="L17" s="3">
        <f>SUM(L13-L14+L15-L16)</f>
        <v>14871.400000000001</v>
      </c>
      <c r="M17" s="3"/>
      <c r="N17" s="3">
        <f>SUM(N13+N15-N16)</f>
        <v>1133.96</v>
      </c>
    </row>
    <row r="18" spans="1:14" x14ac:dyDescent="0.2">
      <c r="A18" s="4">
        <v>43009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1" t="s">
        <v>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">
      <c r="A20" s="5" t="s">
        <v>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">
      <c r="A21" s="5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">
      <c r="A22" s="1" t="s">
        <v>10</v>
      </c>
      <c r="B22" s="3">
        <f>SUM(B19+B20-B21)</f>
        <v>0</v>
      </c>
      <c r="C22" s="3"/>
      <c r="D22" s="3">
        <f>SUM(D19+D20-D21)</f>
        <v>0</v>
      </c>
      <c r="E22" s="3"/>
      <c r="F22" s="3">
        <f>SUM(F19+F20-F21)</f>
        <v>0</v>
      </c>
      <c r="G22" s="3"/>
      <c r="H22" s="3">
        <f>SUM(H19+H20-H21)</f>
        <v>0</v>
      </c>
      <c r="I22" s="3"/>
      <c r="J22" s="3">
        <f>SUM(J19+J20-J21)</f>
        <v>0</v>
      </c>
      <c r="K22" s="3"/>
      <c r="L22" s="3">
        <f>SUM(L19+L20-L21)</f>
        <v>0</v>
      </c>
      <c r="M22" s="3"/>
      <c r="N22" s="3">
        <f>SUM(N19+N20-N21)</f>
        <v>0</v>
      </c>
    </row>
    <row r="23" spans="1:14" x14ac:dyDescent="0.2">
      <c r="A23" s="4">
        <v>43040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1" t="s"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">
      <c r="A25" s="5" t="s"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">
      <c r="A26" s="5" t="s">
        <v>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">
      <c r="A27" s="1" t="s">
        <v>10</v>
      </c>
      <c r="B27" s="3">
        <f>SUM(B24+B25-B26)</f>
        <v>0</v>
      </c>
      <c r="C27" s="3"/>
      <c r="D27" s="3">
        <f>SUM(D24+D25-D26)</f>
        <v>0</v>
      </c>
      <c r="E27" s="3"/>
      <c r="F27" s="3">
        <f>SUM(F24+F25-F26)</f>
        <v>0</v>
      </c>
      <c r="G27" s="3"/>
      <c r="H27" s="3">
        <f>SUM(H24+H25-H26)</f>
        <v>0</v>
      </c>
      <c r="I27" s="3"/>
      <c r="J27" s="3">
        <f>SUM(J24+J25-J26)</f>
        <v>0</v>
      </c>
      <c r="K27" s="3"/>
      <c r="L27" s="3">
        <f>SUM(L24+L25-L26)</f>
        <v>0</v>
      </c>
      <c r="M27" s="3"/>
      <c r="N27" s="3">
        <f>SUM(N24+N25-N26)</f>
        <v>0</v>
      </c>
    </row>
    <row r="28" spans="1:14" x14ac:dyDescent="0.2">
      <c r="A28" s="4">
        <v>43070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">
      <c r="A29" s="1" t="s">
        <v>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">
      <c r="A30" s="5" t="s">
        <v>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">
      <c r="A31" s="5" t="s">
        <v>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">
      <c r="A32" s="1" t="s">
        <v>10</v>
      </c>
      <c r="B32" s="3">
        <f>SUM(B29+B30-B31)</f>
        <v>0</v>
      </c>
      <c r="C32" s="3"/>
      <c r="D32" s="3">
        <f>SUM(D29+D30-D31)</f>
        <v>0</v>
      </c>
      <c r="E32" s="3"/>
      <c r="F32" s="3">
        <f>SUM(F29+F30-F31)</f>
        <v>0</v>
      </c>
      <c r="G32" s="3"/>
      <c r="H32" s="3">
        <f>SUM(H29+H30-H31)</f>
        <v>0</v>
      </c>
      <c r="I32" s="3"/>
      <c r="J32" s="3">
        <f>SUM(J29+J30-J31)</f>
        <v>0</v>
      </c>
      <c r="K32" s="3"/>
      <c r="L32" s="3">
        <f>SUM(L29+L30-L31)</f>
        <v>0</v>
      </c>
      <c r="M32" s="3"/>
      <c r="N32" s="3">
        <f>SUM(N29+N30-N31)</f>
        <v>0</v>
      </c>
    </row>
    <row r="33" spans="1:14" x14ac:dyDescent="0.2">
      <c r="A33" s="4">
        <v>43101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">
      <c r="A34" s="1" t="s">
        <v>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5" t="s">
        <v>44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">
      <c r="A36" s="5" t="s">
        <v>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">
      <c r="A37" s="5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">
      <c r="A38" s="5" t="s">
        <v>45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">
      <c r="A39" s="1" t="s">
        <v>10</v>
      </c>
      <c r="B39" s="3">
        <f>SUM(B36+B37-B38)</f>
        <v>0</v>
      </c>
      <c r="C39" s="3"/>
      <c r="D39" s="3">
        <f>SUM(D36+D37-D38)</f>
        <v>0</v>
      </c>
      <c r="E39" s="3"/>
      <c r="F39" s="3">
        <f>SUM(F36+F37-F38)</f>
        <v>0</v>
      </c>
      <c r="G39" s="3"/>
      <c r="H39" s="3">
        <f>SUM(H36+H37-H38)</f>
        <v>0</v>
      </c>
      <c r="I39" s="3"/>
      <c r="J39" s="3">
        <f>SUM(J36+J37-J38)</f>
        <v>0</v>
      </c>
      <c r="K39" s="3"/>
      <c r="L39" s="3">
        <f>SUM(L36+L37-L38)</f>
        <v>0</v>
      </c>
      <c r="M39" s="3"/>
      <c r="N39" s="3">
        <f>SUM(N36+N37-N38)</f>
        <v>0</v>
      </c>
    </row>
    <row r="40" spans="1:14" x14ac:dyDescent="0.2">
      <c r="A40" s="4">
        <v>43132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">
      <c r="A41" s="1" t="s">
        <v>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">
      <c r="A42" s="5" t="s">
        <v>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2">
      <c r="A43" s="5" t="s">
        <v>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A44" s="1" t="s">
        <v>10</v>
      </c>
      <c r="B44" s="3">
        <f>SUM(B41+B42-B43)</f>
        <v>0</v>
      </c>
      <c r="C44" s="3"/>
      <c r="D44" s="3">
        <f>SUM(D41+D42-D43)</f>
        <v>0</v>
      </c>
      <c r="E44" s="3"/>
      <c r="F44" s="3">
        <f>SUM(F41+F42-F43)</f>
        <v>0</v>
      </c>
      <c r="G44" s="3"/>
      <c r="H44" s="3">
        <f>SUM(H41+H42-H43)</f>
        <v>0</v>
      </c>
      <c r="I44" s="3"/>
      <c r="J44" s="3">
        <f>SUM(J41+J42-J43)</f>
        <v>0</v>
      </c>
      <c r="K44" s="3"/>
      <c r="L44" s="3">
        <f>SUM(L41+L42-L43)</f>
        <v>0</v>
      </c>
      <c r="M44" s="3"/>
      <c r="N44" s="3">
        <f>SUM(N41+N42-N43)</f>
        <v>0</v>
      </c>
    </row>
    <row r="45" spans="1:14" x14ac:dyDescent="0.2">
      <c r="A45" s="4">
        <v>43160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x14ac:dyDescent="0.2">
      <c r="A46" s="1" t="s">
        <v>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2">
      <c r="A47" s="5" t="s">
        <v>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">
      <c r="A48" s="5" t="s">
        <v>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2">
      <c r="A49" s="1" t="s">
        <v>10</v>
      </c>
      <c r="B49" s="3">
        <f>SUM(B46+B47-B48)</f>
        <v>0</v>
      </c>
      <c r="C49" s="3"/>
      <c r="D49" s="3">
        <f>SUM(D46+D47-D48)</f>
        <v>0</v>
      </c>
      <c r="E49" s="3"/>
      <c r="F49" s="3">
        <f>SUM(F46+F47-F48)</f>
        <v>0</v>
      </c>
      <c r="G49" s="3"/>
      <c r="H49" s="3">
        <f>SUM(H46+H47-H48)</f>
        <v>0</v>
      </c>
      <c r="I49" s="3"/>
      <c r="J49" s="3">
        <f>SUM(J46+J47-J48)</f>
        <v>0</v>
      </c>
      <c r="K49" s="3"/>
      <c r="L49" s="3">
        <f>SUM(L46+L47-L48)</f>
        <v>0</v>
      </c>
      <c r="M49" s="3"/>
      <c r="N49" s="3">
        <f>SUM(N46+N47-N48)</f>
        <v>0</v>
      </c>
    </row>
    <row r="50" spans="1:14" x14ac:dyDescent="0.2">
      <c r="A50" s="4">
        <v>43191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">
      <c r="A51" s="1" t="s">
        <v>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2">
      <c r="A52" s="5" t="s">
        <v>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2">
      <c r="A53" s="5" t="s">
        <v>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">
      <c r="A54" s="1" t="s">
        <v>10</v>
      </c>
      <c r="B54" s="3">
        <f>SUM(B51+B52-B53)</f>
        <v>0</v>
      </c>
      <c r="C54" s="3"/>
      <c r="D54" s="3">
        <f>SUM(D51+D52-D53)</f>
        <v>0</v>
      </c>
      <c r="E54" s="3"/>
      <c r="F54" s="3">
        <f>SUM(F51+F52-F53)</f>
        <v>0</v>
      </c>
      <c r="G54" s="3"/>
      <c r="H54" s="3">
        <f>SUM(H51+H52-H53)</f>
        <v>0</v>
      </c>
      <c r="I54" s="3"/>
      <c r="J54" s="3">
        <f>SUM(J51+J52-J53)</f>
        <v>0</v>
      </c>
      <c r="K54" s="3"/>
      <c r="L54" s="3">
        <f>SUM(L51+L52-L53)</f>
        <v>0</v>
      </c>
      <c r="M54" s="3"/>
      <c r="N54" s="3">
        <f>SUM(N51+N52-N53)</f>
        <v>0</v>
      </c>
    </row>
    <row r="55" spans="1:14" x14ac:dyDescent="0.2">
      <c r="A55" s="4">
        <v>43221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">
      <c r="A56" s="1" t="s">
        <v>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">
      <c r="A57" s="5" t="s">
        <v>8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">
      <c r="A58" s="5" t="s">
        <v>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">
      <c r="A59" s="1" t="s">
        <v>10</v>
      </c>
      <c r="B59" s="3">
        <f>SUM(B56+B57-B58)</f>
        <v>0</v>
      </c>
      <c r="C59" s="3"/>
      <c r="D59" s="3">
        <f>SUM(D56+D57-D58)</f>
        <v>0</v>
      </c>
      <c r="E59" s="3"/>
      <c r="F59" s="3">
        <f>SUM(F56+F57-F58)</f>
        <v>0</v>
      </c>
      <c r="G59" s="3"/>
      <c r="H59" s="3">
        <f>SUM(H56+H57-H58)</f>
        <v>0</v>
      </c>
      <c r="I59" s="3"/>
      <c r="J59" s="3">
        <f>SUM(J56+J57-J58)</f>
        <v>0</v>
      </c>
      <c r="K59" s="3"/>
      <c r="L59" s="3">
        <f>SUM(L56+L57-L58)</f>
        <v>0</v>
      </c>
      <c r="M59" s="3"/>
      <c r="N59" s="3">
        <f>SUM(N56+N57-N58)</f>
        <v>0</v>
      </c>
    </row>
    <row r="60" spans="1:14" x14ac:dyDescent="0.2">
      <c r="A60" s="4">
        <v>43252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">
      <c r="A61" s="1" t="s">
        <v>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">
      <c r="A62" s="5" t="s">
        <v>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">
      <c r="A63" s="5" t="s">
        <v>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">
      <c r="A64" s="1" t="s">
        <v>10</v>
      </c>
      <c r="B64" s="3">
        <f>SUM(B61+B62-B63)</f>
        <v>0</v>
      </c>
      <c r="C64" s="3"/>
      <c r="D64" s="3">
        <f>SUM(D61+D62-D63)</f>
        <v>0</v>
      </c>
      <c r="E64" s="3"/>
      <c r="F64" s="3">
        <f>SUM(F61+F62-F63)</f>
        <v>0</v>
      </c>
      <c r="G64" s="3"/>
      <c r="H64" s="3">
        <f>SUM(H61+H62-H63)</f>
        <v>0</v>
      </c>
      <c r="I64" s="3"/>
      <c r="J64" s="3">
        <f>SUM(J61+J62-J63)</f>
        <v>0</v>
      </c>
      <c r="K64" s="3"/>
      <c r="L64" s="3">
        <f>SUM(L61+L62-L63)</f>
        <v>0</v>
      </c>
      <c r="M64" s="3"/>
      <c r="N64" s="3">
        <f>SUM(N61+N62-N63)</f>
        <v>0</v>
      </c>
    </row>
    <row r="65" spans="1:14" x14ac:dyDescent="0.2">
      <c r="A65" s="5" t="s">
        <v>26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">
      <c r="A66" s="5" t="s">
        <v>43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1" t="s">
        <v>15</v>
      </c>
      <c r="B67" s="3">
        <f>SUM(B64:B66)</f>
        <v>0</v>
      </c>
      <c r="C67" s="3"/>
      <c r="D67" s="3">
        <f>SUM(D64:D66)</f>
        <v>0</v>
      </c>
      <c r="E67" s="3"/>
      <c r="F67" s="3">
        <f>SUM(F64:F66)</f>
        <v>0</v>
      </c>
      <c r="G67" s="3"/>
      <c r="H67" s="3">
        <f>SUM(H64:H66)</f>
        <v>0</v>
      </c>
      <c r="I67" s="3"/>
      <c r="J67" s="3">
        <f>SUM(J64:J66)</f>
        <v>0</v>
      </c>
      <c r="K67" s="3"/>
      <c r="L67" s="3">
        <f>SUM(L64:L66)</f>
        <v>0</v>
      </c>
      <c r="M67" s="3"/>
      <c r="N67" s="3">
        <f>SUM(N64:N66)</f>
        <v>0</v>
      </c>
    </row>
    <row r="68" spans="1:14" x14ac:dyDescent="0.2">
      <c r="A68" s="1" t="s">
        <v>11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B70" s="3">
        <f>SUM(B5,B10,B16,B21,B26,B31,B37,B43,B48,B53,B58,B63)</f>
        <v>688288.22</v>
      </c>
      <c r="C70" s="3"/>
      <c r="D70" s="3">
        <f>SUM(D5,D10,D16,D21,D26,D31,D37,D43,D48,D53,D58,D63)</f>
        <v>363024.65</v>
      </c>
      <c r="E70" s="3"/>
      <c r="F70" s="3">
        <f>SUM(F5,F10,F16,F21,F26,F31,F37,F43,F48,F53,F58,F63)</f>
        <v>100266.6</v>
      </c>
      <c r="G70" s="3"/>
      <c r="H70" s="3">
        <f>SUM(H5,H10,H16,H21,H26,H31,H37,H43,H48,H53,H58,H63)</f>
        <v>17500</v>
      </c>
      <c r="I70" s="3"/>
      <c r="J70" s="3">
        <f>SUM(J5,J10,J16,J21,J26,J31,J37,J43,J48,J53,J58,J63)</f>
        <v>0</v>
      </c>
      <c r="K70" s="3"/>
      <c r="L70" s="3">
        <f>SUM(L5,L10,L16,L21,L26,L31,L37,L43,L48,L53,L58,L63)</f>
        <v>46795.9</v>
      </c>
      <c r="M70" s="3"/>
      <c r="N70" s="3">
        <f>SUM(N5,N10,N16,N21,N26,N31,N37,N43,N48,N53,N58,N63)</f>
        <v>3270.67</v>
      </c>
    </row>
    <row r="71" spans="1:14" x14ac:dyDescent="0.2">
      <c r="B71" s="15">
        <f>SUM(B32/B70)</f>
        <v>0</v>
      </c>
      <c r="D71" s="15">
        <f>SUM(D32/D70)</f>
        <v>0</v>
      </c>
      <c r="F71" s="15">
        <f>SUM(F32/F70)</f>
        <v>0</v>
      </c>
      <c r="H71" s="15">
        <f>SUM(H32/H70)</f>
        <v>0</v>
      </c>
      <c r="J71" s="15" t="e">
        <f>SUM(J32/J70)</f>
        <v>#DIV/0!</v>
      </c>
      <c r="L71" s="15">
        <f>SUM(L32/L70)</f>
        <v>0</v>
      </c>
      <c r="N71" s="15">
        <f>SUM(N32/N70)</f>
        <v>0</v>
      </c>
    </row>
  </sheetData>
  <pageMargins left="0.7" right="0.7" top="0.75" bottom="0.75" header="0.3" footer="0.3"/>
  <pageSetup scale="89" orientation="landscape" r:id="rId1"/>
  <rowBreaks count="1" manualBreakCount="1">
    <brk id="44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7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39630</v>
      </c>
      <c r="B2" s="10">
        <v>38063.5</v>
      </c>
      <c r="C2" s="10"/>
      <c r="D2" s="10" t="s">
        <v>24</v>
      </c>
      <c r="E2" s="10"/>
      <c r="F2" s="10">
        <v>948.05</v>
      </c>
    </row>
    <row r="3" spans="1:19" x14ac:dyDescent="0.2">
      <c r="A3" s="1" t="s">
        <v>7</v>
      </c>
      <c r="B3" s="3">
        <v>871166.2</v>
      </c>
      <c r="D3" s="3">
        <v>528989.17000000004</v>
      </c>
      <c r="F3" s="3">
        <v>77769.19</v>
      </c>
      <c r="H3" s="3">
        <v>159068.19</v>
      </c>
      <c r="J3" s="3">
        <v>261178.71</v>
      </c>
      <c r="L3" s="3">
        <v>5646.36</v>
      </c>
      <c r="N3" s="8">
        <f>SUM(B6/1594501.05)</f>
        <v>0.50364203899395366</v>
      </c>
      <c r="O3" s="1" t="s">
        <v>16</v>
      </c>
      <c r="P3">
        <v>553.51</v>
      </c>
      <c r="Q3" s="3">
        <f>SUM(N3*P3)</f>
        <v>278.77090500354331</v>
      </c>
      <c r="R3">
        <v>1846.42</v>
      </c>
      <c r="S3" s="3">
        <f>SUM(R3*0.34)</f>
        <v>627.78280000000007</v>
      </c>
    </row>
    <row r="4" spans="1:19" x14ac:dyDescent="0.2">
      <c r="A4" s="5" t="s">
        <v>8</v>
      </c>
      <c r="B4" s="3">
        <v>102559.17</v>
      </c>
      <c r="D4" s="3">
        <v>904.72</v>
      </c>
      <c r="F4" s="3">
        <v>2447.0700000000002</v>
      </c>
      <c r="H4" s="3">
        <v>108.56</v>
      </c>
      <c r="J4" s="3">
        <v>400.01</v>
      </c>
      <c r="L4" s="3">
        <v>0</v>
      </c>
      <c r="N4" s="8">
        <f>SUM(D6/1594501.05)</f>
        <v>0.29263679694660594</v>
      </c>
      <c r="O4" s="1" t="s">
        <v>17</v>
      </c>
      <c r="P4">
        <v>553.51</v>
      </c>
      <c r="Q4" s="3">
        <f t="shared" ref="Q4:Q62" si="0">SUM(N4*P4)</f>
        <v>161.97739347791585</v>
      </c>
      <c r="R4">
        <v>1846.42</v>
      </c>
      <c r="S4" s="3">
        <f>SUM(R4*0.63)</f>
        <v>1163.2446</v>
      </c>
    </row>
    <row r="5" spans="1:19" x14ac:dyDescent="0.2">
      <c r="A5" s="5" t="s">
        <v>9</v>
      </c>
      <c r="B5" s="3">
        <v>208731.11</v>
      </c>
      <c r="D5" s="3">
        <v>63284.21</v>
      </c>
      <c r="F5" s="3">
        <v>38649.82</v>
      </c>
      <c r="H5" s="3">
        <v>9177.6</v>
      </c>
      <c r="J5" s="3">
        <v>129258.75</v>
      </c>
      <c r="L5" s="3">
        <v>7341.56</v>
      </c>
      <c r="N5" s="8">
        <f>SUM(F6/1594501.05)</f>
        <v>2.6663193479866325E-2</v>
      </c>
      <c r="O5" s="1" t="s">
        <v>18</v>
      </c>
      <c r="P5">
        <v>553.51</v>
      </c>
      <c r="Q5" s="3">
        <f t="shared" si="0"/>
        <v>14.75834422304081</v>
      </c>
    </row>
    <row r="6" spans="1:19" x14ac:dyDescent="0.2">
      <c r="A6" s="1" t="s">
        <v>10</v>
      </c>
      <c r="B6" s="3">
        <f>SUM(B3+B4-B5+B2)</f>
        <v>803057.76</v>
      </c>
      <c r="D6" s="3">
        <f>SUM(D3+D4-D5)</f>
        <v>466609.68</v>
      </c>
      <c r="F6" s="3">
        <f>SUM(F3+F4-F5+F2)</f>
        <v>42514.490000000013</v>
      </c>
      <c r="H6" s="3">
        <f>SUM(H3+H4-H5)</f>
        <v>149999.15</v>
      </c>
      <c r="J6" s="3">
        <f>SUM(J3+J4-J5)</f>
        <v>132319.97</v>
      </c>
      <c r="L6" s="3">
        <f>SUM(L3+L4-L5)</f>
        <v>-1695.2000000000007</v>
      </c>
      <c r="N6" s="8">
        <f>SUM(H6/1594501.05)</f>
        <v>9.4072782203561411E-2</v>
      </c>
      <c r="O6" s="1" t="s">
        <v>19</v>
      </c>
      <c r="P6">
        <v>553.51</v>
      </c>
      <c r="Q6" s="3">
        <f t="shared" si="0"/>
        <v>52.070225677493276</v>
      </c>
    </row>
    <row r="7" spans="1:19" x14ac:dyDescent="0.2">
      <c r="A7" s="4">
        <v>39661</v>
      </c>
      <c r="N7" s="8">
        <f>SUM(J6/1594501.05)</f>
        <v>8.2985188376012667E-2</v>
      </c>
      <c r="O7" s="1" t="s">
        <v>20</v>
      </c>
      <c r="P7">
        <v>553.51</v>
      </c>
      <c r="Q7" s="3">
        <f t="shared" si="0"/>
        <v>45.933131618006769</v>
      </c>
      <c r="R7">
        <v>1846.42</v>
      </c>
      <c r="S7" s="3">
        <f>SUM(R7*0.03)</f>
        <v>55.392600000000002</v>
      </c>
    </row>
    <row r="8" spans="1:19" x14ac:dyDescent="0.2">
      <c r="A8" s="1" t="s">
        <v>7</v>
      </c>
      <c r="B8" s="3">
        <v>803057.76</v>
      </c>
      <c r="D8" s="3">
        <v>466609.68</v>
      </c>
      <c r="F8" s="3">
        <v>42514.49</v>
      </c>
      <c r="H8" s="3">
        <v>149999.15</v>
      </c>
      <c r="J8" s="3">
        <v>132319.97</v>
      </c>
      <c r="L8" s="3">
        <v>-1695.2</v>
      </c>
      <c r="N8" s="8">
        <f>SUM(B11/1415042.49)</f>
        <v>0.51219933332178602</v>
      </c>
      <c r="O8" s="1" t="s">
        <v>16</v>
      </c>
      <c r="P8">
        <v>479.77</v>
      </c>
      <c r="Q8" s="3">
        <f t="shared" si="0"/>
        <v>245.73787414779326</v>
      </c>
      <c r="R8">
        <v>262.27999999999997</v>
      </c>
      <c r="S8" s="3">
        <f>SUM(R8*0.34)</f>
        <v>89.175200000000004</v>
      </c>
    </row>
    <row r="9" spans="1:19" x14ac:dyDescent="0.2">
      <c r="A9" s="5" t="s">
        <v>8</v>
      </c>
      <c r="B9" s="3">
        <v>82686.070000000007</v>
      </c>
      <c r="D9" s="3">
        <v>1453.76</v>
      </c>
      <c r="F9" s="3">
        <v>1100.1400000000001</v>
      </c>
      <c r="H9" s="3">
        <v>174.46</v>
      </c>
      <c r="J9" s="3">
        <v>639.64</v>
      </c>
      <c r="L9" s="3">
        <v>7865.8</v>
      </c>
      <c r="N9" s="8">
        <f>SUM(D11/1415042.49)</f>
        <v>0.30635075134740303</v>
      </c>
      <c r="O9" s="1" t="s">
        <v>17</v>
      </c>
      <c r="P9">
        <v>479.77</v>
      </c>
      <c r="Q9" s="3">
        <f t="shared" si="0"/>
        <v>146.97789997394355</v>
      </c>
      <c r="R9">
        <v>262.27999999999997</v>
      </c>
      <c r="S9" s="3">
        <f>SUM(R9*0.63)</f>
        <v>165.23639999999997</v>
      </c>
    </row>
    <row r="10" spans="1:19" x14ac:dyDescent="0.2">
      <c r="A10" s="5" t="s">
        <v>9</v>
      </c>
      <c r="B10" s="3">
        <v>160960.01</v>
      </c>
      <c r="D10" s="3">
        <v>34564.11</v>
      </c>
      <c r="F10" s="3">
        <v>33988.51</v>
      </c>
      <c r="H10" s="3">
        <v>0</v>
      </c>
      <c r="J10" s="3">
        <v>0</v>
      </c>
      <c r="L10" s="3">
        <v>6636.37</v>
      </c>
      <c r="N10" s="8">
        <f>SUM(F11/1415042.49)</f>
        <v>6.8027073872530819E-3</v>
      </c>
      <c r="O10" s="1" t="s">
        <v>18</v>
      </c>
      <c r="P10">
        <v>479.77</v>
      </c>
      <c r="Q10" s="3">
        <f t="shared" si="0"/>
        <v>3.2637349231824109</v>
      </c>
    </row>
    <row r="11" spans="1:19" x14ac:dyDescent="0.2">
      <c r="A11" s="1" t="s">
        <v>10</v>
      </c>
      <c r="B11" s="3">
        <f>SUM(B8+B9-B10)</f>
        <v>724783.82000000007</v>
      </c>
      <c r="D11" s="3">
        <f>SUM(D8+D9-D10)</f>
        <v>433499.33</v>
      </c>
      <c r="F11" s="3">
        <f>SUM(F8+F9-F10)</f>
        <v>9626.1199999999953</v>
      </c>
      <c r="H11" s="3">
        <f>SUM(H8+H9-H10)</f>
        <v>150173.60999999999</v>
      </c>
      <c r="J11" s="3">
        <f>SUM(J8+J9-J10)</f>
        <v>132959.61000000002</v>
      </c>
      <c r="L11" s="3">
        <f>SUM(L8+L9-L10)</f>
        <v>-465.76999999999953</v>
      </c>
      <c r="N11" s="8">
        <f>SUM(H11/1415042.49)</f>
        <v>0.10612657292008242</v>
      </c>
      <c r="O11" s="1" t="s">
        <v>19</v>
      </c>
      <c r="P11">
        <v>479.77</v>
      </c>
      <c r="Q11" s="3">
        <f t="shared" si="0"/>
        <v>50.916345889867941</v>
      </c>
    </row>
    <row r="12" spans="1:19" x14ac:dyDescent="0.2">
      <c r="A12" s="4">
        <v>39692</v>
      </c>
      <c r="N12" s="8">
        <f>SUM(J11/1415042.49)</f>
        <v>9.3961567189406459E-2</v>
      </c>
      <c r="O12" s="1" t="s">
        <v>20</v>
      </c>
      <c r="P12">
        <v>479.77</v>
      </c>
      <c r="Q12" s="3">
        <f t="shared" si="0"/>
        <v>45.079941090461531</v>
      </c>
      <c r="R12">
        <v>262.27999999999997</v>
      </c>
      <c r="S12" s="3">
        <f>SUM(R12*0.03)</f>
        <v>7.8683999999999985</v>
      </c>
    </row>
    <row r="13" spans="1:19" x14ac:dyDescent="0.2">
      <c r="A13" s="1" t="s">
        <v>7</v>
      </c>
      <c r="B13" s="3">
        <v>724783.82</v>
      </c>
      <c r="D13" s="3">
        <v>433499.33</v>
      </c>
      <c r="F13" s="3">
        <v>9626.1200000000008</v>
      </c>
      <c r="H13" s="3">
        <v>150173.60999999999</v>
      </c>
      <c r="J13" s="3">
        <v>132959.60999999999</v>
      </c>
      <c r="L13" s="3">
        <v>-465.77</v>
      </c>
      <c r="N13" s="8">
        <f>SUM(B16/1357114.51)</f>
        <v>0.49746243594433309</v>
      </c>
      <c r="O13" s="1" t="s">
        <v>16</v>
      </c>
      <c r="P13">
        <v>402.8</v>
      </c>
      <c r="Q13" s="3">
        <f t="shared" si="0"/>
        <v>200.37786919837737</v>
      </c>
      <c r="R13">
        <v>265.16000000000003</v>
      </c>
      <c r="S13" s="3">
        <f>SUM(R13*0.34)</f>
        <v>90.15440000000001</v>
      </c>
    </row>
    <row r="14" spans="1:19" x14ac:dyDescent="0.2">
      <c r="A14" s="5" t="s">
        <v>8</v>
      </c>
      <c r="B14" s="3">
        <v>135936.23000000001</v>
      </c>
      <c r="D14" s="3">
        <v>1185.99</v>
      </c>
      <c r="F14" s="3">
        <v>8165.25</v>
      </c>
      <c r="H14" s="3">
        <v>142.32</v>
      </c>
      <c r="J14" s="3">
        <v>525.24</v>
      </c>
      <c r="L14" s="3">
        <v>6145.64</v>
      </c>
      <c r="N14" s="8">
        <f>SUM(D16/1357114.51)</f>
        <v>0.30511616149472898</v>
      </c>
      <c r="O14" s="1" t="s">
        <v>17</v>
      </c>
      <c r="P14">
        <v>402.8</v>
      </c>
      <c r="Q14" s="3">
        <f t="shared" si="0"/>
        <v>122.90078985007683</v>
      </c>
      <c r="R14">
        <v>265.16000000000003</v>
      </c>
      <c r="S14" s="3">
        <f>SUM(R14*0.63)</f>
        <v>167.05080000000001</v>
      </c>
    </row>
    <row r="15" spans="1:19" x14ac:dyDescent="0.2">
      <c r="A15" s="5" t="s">
        <v>9</v>
      </c>
      <c r="B15" s="3">
        <v>185606.56</v>
      </c>
      <c r="D15" s="3">
        <v>20607.75</v>
      </c>
      <c r="F15" s="3">
        <v>33668.699999999997</v>
      </c>
      <c r="H15" s="3">
        <v>0</v>
      </c>
      <c r="J15" s="3">
        <v>0</v>
      </c>
      <c r="L15" s="3">
        <v>18454.18</v>
      </c>
      <c r="N15" s="8">
        <f>SUM(F16/1357114.51)</f>
        <v>-1.1699329631366179E-2</v>
      </c>
      <c r="O15" s="1" t="s">
        <v>18</v>
      </c>
      <c r="P15">
        <v>402.8</v>
      </c>
      <c r="Q15" s="3">
        <f t="shared" si="0"/>
        <v>-4.7124899755142975</v>
      </c>
    </row>
    <row r="16" spans="1:19" x14ac:dyDescent="0.2">
      <c r="A16" s="1" t="s">
        <v>10</v>
      </c>
      <c r="B16" s="3">
        <f>SUM(B13+B14-B15)</f>
        <v>675113.49</v>
      </c>
      <c r="D16" s="3">
        <f>SUM(D13+D14-D15)</f>
        <v>414077.57</v>
      </c>
      <c r="F16" s="3">
        <f>SUM(F13+F14-F15)</f>
        <v>-15877.329999999994</v>
      </c>
      <c r="H16" s="3">
        <f>SUM(H13+H14-H15)</f>
        <v>150315.93</v>
      </c>
      <c r="J16" s="3">
        <f>SUM(J13+J14-J15)</f>
        <v>133484.84999999998</v>
      </c>
      <c r="L16" s="3">
        <f>SUM(L13+L14-L15)</f>
        <v>-12774.31</v>
      </c>
      <c r="N16" s="8">
        <f>SUM(H16/1357114.51)</f>
        <v>0.1107614198303723</v>
      </c>
      <c r="O16" s="1" t="s">
        <v>19</v>
      </c>
      <c r="P16">
        <v>402.8</v>
      </c>
      <c r="Q16" s="3">
        <f t="shared" si="0"/>
        <v>44.614699907673966</v>
      </c>
    </row>
    <row r="17" spans="1:19" x14ac:dyDescent="0.2">
      <c r="A17" s="4">
        <v>39722</v>
      </c>
      <c r="N17" s="8">
        <f>SUM(J16/1357114.51)</f>
        <v>9.8359312361931767E-2</v>
      </c>
      <c r="O17" s="1" t="s">
        <v>20</v>
      </c>
      <c r="P17">
        <v>402.8</v>
      </c>
      <c r="Q17" s="3">
        <f t="shared" si="0"/>
        <v>39.619131019386117</v>
      </c>
      <c r="R17">
        <v>265.16000000000003</v>
      </c>
      <c r="S17" s="3">
        <f>SUM(R17*0.03)</f>
        <v>7.9548000000000005</v>
      </c>
    </row>
    <row r="18" spans="1:19" x14ac:dyDescent="0.2">
      <c r="A18" s="1" t="s">
        <v>7</v>
      </c>
      <c r="B18" s="3">
        <v>675113.49</v>
      </c>
      <c r="D18" s="3">
        <v>414077.57</v>
      </c>
      <c r="F18" s="3">
        <v>-15877.33</v>
      </c>
      <c r="H18" s="3">
        <v>150315.93</v>
      </c>
      <c r="J18" s="3">
        <v>133484.85</v>
      </c>
      <c r="L18" s="3">
        <v>-12774.31</v>
      </c>
      <c r="N18" s="8">
        <f>SUM(B21/1225754.36)</f>
        <v>0.48194020700852319</v>
      </c>
      <c r="O18" s="1" t="s">
        <v>16</v>
      </c>
      <c r="P18">
        <v>367.6</v>
      </c>
      <c r="Q18" s="3">
        <f t="shared" si="0"/>
        <v>177.16122009633312</v>
      </c>
      <c r="R18">
        <v>309.08999999999997</v>
      </c>
      <c r="S18" s="3">
        <f>SUM(R18*0.34)</f>
        <v>105.09059999999999</v>
      </c>
    </row>
    <row r="19" spans="1:19" x14ac:dyDescent="0.2">
      <c r="A19" s="5" t="s">
        <v>8</v>
      </c>
      <c r="B19" s="3">
        <v>132327.46</v>
      </c>
      <c r="D19" s="3">
        <v>3947.85</v>
      </c>
      <c r="F19" s="3">
        <v>8865.42</v>
      </c>
      <c r="H19" s="3">
        <v>473.74</v>
      </c>
      <c r="J19" s="3">
        <v>1737.05</v>
      </c>
      <c r="L19" s="3">
        <v>22535.02</v>
      </c>
      <c r="N19" s="8">
        <f>SUM(D21/1225754.36)</f>
        <v>0.32762162885555635</v>
      </c>
      <c r="O19" s="1" t="s">
        <v>17</v>
      </c>
      <c r="P19">
        <v>367.6</v>
      </c>
      <c r="Q19" s="3">
        <f t="shared" si="0"/>
        <v>120.43371076730251</v>
      </c>
      <c r="R19">
        <v>309.08999999999997</v>
      </c>
      <c r="S19" s="3">
        <f>SUM(R19*0.63)</f>
        <v>194.72669999999999</v>
      </c>
    </row>
    <row r="20" spans="1:19" x14ac:dyDescent="0.2">
      <c r="A20" s="5" t="s">
        <v>9</v>
      </c>
      <c r="B20" s="3">
        <v>216700.64</v>
      </c>
      <c r="D20" s="3">
        <v>16441.78</v>
      </c>
      <c r="F20" s="3">
        <v>45569.25</v>
      </c>
      <c r="H20" s="3">
        <v>0</v>
      </c>
      <c r="J20" s="3">
        <v>0</v>
      </c>
      <c r="L20" s="3">
        <v>17325.75</v>
      </c>
      <c r="N20" s="8">
        <f>SUM(F21/1225754.36)</f>
        <v>-4.2896979783127183E-2</v>
      </c>
      <c r="O20" s="1" t="s">
        <v>18</v>
      </c>
      <c r="P20">
        <v>367.6</v>
      </c>
      <c r="Q20" s="3">
        <f t="shared" si="0"/>
        <v>-15.768929768277554</v>
      </c>
    </row>
    <row r="21" spans="1:19" x14ac:dyDescent="0.2">
      <c r="A21" s="1" t="s">
        <v>10</v>
      </c>
      <c r="B21" s="3">
        <f>SUM(B18+B19-B20)</f>
        <v>590740.30999999994</v>
      </c>
      <c r="D21" s="3">
        <f>SUM(D18+D19-D20)</f>
        <v>401583.64</v>
      </c>
      <c r="F21" s="3">
        <f>SUM(F18+F19-F20)</f>
        <v>-52581.16</v>
      </c>
      <c r="H21" s="3">
        <f>SUM(H18+H19-H20)</f>
        <v>150789.66999999998</v>
      </c>
      <c r="J21" s="3">
        <f>SUM(J18+J19-J20)</f>
        <v>135221.9</v>
      </c>
      <c r="L21" s="3">
        <f>SUM(L18+L19-L20)</f>
        <v>-7565.0399999999991</v>
      </c>
      <c r="N21" s="8">
        <f>SUM(H21/1225754.36)</f>
        <v>0.12301785326710971</v>
      </c>
      <c r="O21" s="1" t="s">
        <v>19</v>
      </c>
      <c r="P21">
        <v>367.6</v>
      </c>
      <c r="Q21" s="3">
        <f t="shared" si="0"/>
        <v>45.22136286098953</v>
      </c>
      <c r="R21" t="s">
        <v>11</v>
      </c>
    </row>
    <row r="22" spans="1:19" x14ac:dyDescent="0.2">
      <c r="A22" s="4">
        <v>39753</v>
      </c>
      <c r="N22" s="8">
        <f>SUM(J21/1225754.36)</f>
        <v>0.11031729065193778</v>
      </c>
      <c r="O22" s="1" t="s">
        <v>20</v>
      </c>
      <c r="P22">
        <v>367.6</v>
      </c>
      <c r="Q22" s="3">
        <f t="shared" si="0"/>
        <v>40.552636043652328</v>
      </c>
      <c r="R22">
        <v>309.08999999999997</v>
      </c>
      <c r="S22" s="3">
        <f>SUM(R22*0.03)</f>
        <v>9.2726999999999986</v>
      </c>
    </row>
    <row r="23" spans="1:19" x14ac:dyDescent="0.2">
      <c r="A23" s="1" t="s">
        <v>7</v>
      </c>
      <c r="B23" s="3">
        <v>590740.31000000006</v>
      </c>
      <c r="D23" s="3">
        <v>401583.64</v>
      </c>
      <c r="F23" s="3">
        <v>-52581.16</v>
      </c>
      <c r="H23" s="3">
        <v>150789.67000000001</v>
      </c>
      <c r="J23" s="3">
        <v>135221.9</v>
      </c>
      <c r="L23" s="3">
        <v>-7565.04</v>
      </c>
      <c r="N23" s="8">
        <f>SUM(B26/1518159.09)</f>
        <v>0.54598971574184629</v>
      </c>
      <c r="O23" s="1" t="s">
        <v>16</v>
      </c>
      <c r="P23">
        <v>384.9</v>
      </c>
      <c r="Q23" s="3">
        <f t="shared" si="0"/>
        <v>210.15144158903664</v>
      </c>
      <c r="R23">
        <v>2546.7600000000002</v>
      </c>
      <c r="S23" s="3">
        <f>SUM(R23*0.34)</f>
        <v>865.89840000000015</v>
      </c>
    </row>
    <row r="24" spans="1:19" x14ac:dyDescent="0.2">
      <c r="A24" s="5" t="s">
        <v>8</v>
      </c>
      <c r="B24" s="3">
        <v>434545.65</v>
      </c>
      <c r="D24" s="3">
        <v>101239.61</v>
      </c>
      <c r="F24" s="3">
        <v>63287.46</v>
      </c>
      <c r="H24" s="3">
        <v>12146.8</v>
      </c>
      <c r="J24" s="3">
        <v>44549.599999999999</v>
      </c>
      <c r="L24" s="3">
        <v>17320.580000000002</v>
      </c>
      <c r="N24" s="8">
        <f>SUM(D26/1518159.09)</f>
        <v>0.25642811255044423</v>
      </c>
      <c r="O24" s="1" t="s">
        <v>17</v>
      </c>
      <c r="P24">
        <v>384.9</v>
      </c>
      <c r="Q24" s="3">
        <f t="shared" si="0"/>
        <v>98.699180520665976</v>
      </c>
      <c r="R24">
        <v>2546.7600000000002</v>
      </c>
      <c r="S24" s="3">
        <f>SUM(R24*0.63)</f>
        <v>1604.4588000000001</v>
      </c>
    </row>
    <row r="25" spans="1:19" x14ac:dyDescent="0.2">
      <c r="A25" s="5" t="s">
        <v>9</v>
      </c>
      <c r="B25" s="3">
        <v>196386.71</v>
      </c>
      <c r="D25" s="3">
        <v>113524.58</v>
      </c>
      <c r="F25" s="3">
        <v>36366.85</v>
      </c>
      <c r="H25" s="3">
        <v>0</v>
      </c>
      <c r="J25" s="3">
        <v>17086.25</v>
      </c>
      <c r="L25" s="3">
        <v>11876.73</v>
      </c>
      <c r="N25" s="8">
        <f>SUM(F26/1518159.09)</f>
        <v>-1.6902411722871546E-2</v>
      </c>
      <c r="O25" s="1" t="s">
        <v>18</v>
      </c>
      <c r="P25">
        <v>384.9</v>
      </c>
      <c r="Q25" s="3">
        <f t="shared" si="0"/>
        <v>-6.5057382721332582</v>
      </c>
    </row>
    <row r="26" spans="1:19" x14ac:dyDescent="0.2">
      <c r="A26" s="1" t="s">
        <v>10</v>
      </c>
      <c r="B26" s="3">
        <f>SUM(B23+B24-B25)</f>
        <v>828899.25000000012</v>
      </c>
      <c r="D26" s="3">
        <f>SUM(D23+D24-D25)</f>
        <v>389298.67</v>
      </c>
      <c r="F26" s="3">
        <f>SUM(F23+F24-F25)</f>
        <v>-25660.550000000003</v>
      </c>
      <c r="H26" s="3">
        <f>SUM(H23+H24-H25)</f>
        <v>162936.47</v>
      </c>
      <c r="J26" s="3">
        <f>SUM(J23+J24-J25)</f>
        <v>162685.25</v>
      </c>
      <c r="L26" s="3">
        <f>SUM(L23+L24-L25)</f>
        <v>-2121.1899999999987</v>
      </c>
      <c r="N26" s="8">
        <f>SUM(H26/1518159.09)</f>
        <v>0.10732503007968683</v>
      </c>
      <c r="O26" s="1" t="s">
        <v>19</v>
      </c>
      <c r="P26">
        <v>384.9</v>
      </c>
      <c r="Q26" s="3">
        <f t="shared" si="0"/>
        <v>41.309404077671459</v>
      </c>
    </row>
    <row r="27" spans="1:19" x14ac:dyDescent="0.2">
      <c r="A27" s="4">
        <v>39783</v>
      </c>
      <c r="B27" s="11">
        <v>1404.85</v>
      </c>
      <c r="C27" s="11"/>
      <c r="D27" s="11" t="s">
        <v>25</v>
      </c>
      <c r="E27" s="11"/>
      <c r="F27" s="11"/>
      <c r="G27" s="11"/>
      <c r="H27" s="11"/>
      <c r="I27" s="11"/>
      <c r="J27" s="11"/>
      <c r="K27" s="11"/>
      <c r="L27" s="11">
        <v>232.8</v>
      </c>
      <c r="N27" s="8">
        <f>SUM(J26/1518159.09)</f>
        <v>0.10715955335089421</v>
      </c>
      <c r="O27" s="1" t="s">
        <v>20</v>
      </c>
      <c r="P27">
        <v>384.9</v>
      </c>
      <c r="Q27" s="3">
        <f t="shared" si="0"/>
        <v>41.245712084759177</v>
      </c>
      <c r="R27">
        <v>2546.7600000000002</v>
      </c>
      <c r="S27" s="3">
        <f>SUM(R27*0.03)</f>
        <v>76.402799999999999</v>
      </c>
    </row>
    <row r="28" spans="1:19" x14ac:dyDescent="0.2">
      <c r="A28" s="1" t="s">
        <v>7</v>
      </c>
      <c r="B28" s="3">
        <v>828899.25</v>
      </c>
      <c r="D28" s="3">
        <v>389298.67</v>
      </c>
      <c r="F28" s="3">
        <v>-25660.55</v>
      </c>
      <c r="H28" s="3">
        <v>162936.47</v>
      </c>
      <c r="J28" s="3">
        <v>162685.25</v>
      </c>
      <c r="L28" s="3">
        <v>-2121.19</v>
      </c>
      <c r="N28" s="8">
        <f>SUM(B31/1605922.7)</f>
        <v>0.53394923055761023</v>
      </c>
      <c r="O28" s="1" t="s">
        <v>16</v>
      </c>
      <c r="P28">
        <v>499.67</v>
      </c>
      <c r="Q28" s="3">
        <f t="shared" si="0"/>
        <v>266.7984120327211</v>
      </c>
      <c r="R28">
        <v>3772.31</v>
      </c>
      <c r="S28" s="3">
        <f>SUM(R28*0.34)</f>
        <v>1282.5854000000002</v>
      </c>
    </row>
    <row r="29" spans="1:19" x14ac:dyDescent="0.2">
      <c r="A29" s="5" t="s">
        <v>8</v>
      </c>
      <c r="B29" s="3">
        <v>203759.83</v>
      </c>
      <c r="D29" s="3">
        <v>51419.09</v>
      </c>
      <c r="F29" s="3">
        <v>36991.97</v>
      </c>
      <c r="H29" s="3">
        <v>6170.3</v>
      </c>
      <c r="J29" s="3">
        <v>22662.14</v>
      </c>
      <c r="L29" s="3">
        <v>15626.72</v>
      </c>
      <c r="N29" s="8">
        <f>SUM(D31/1605922.7)</f>
        <v>0.26567784364714442</v>
      </c>
      <c r="O29" s="1" t="s">
        <v>17</v>
      </c>
      <c r="P29">
        <v>499.67</v>
      </c>
      <c r="Q29" s="3">
        <f t="shared" si="0"/>
        <v>132.75124813516865</v>
      </c>
      <c r="R29">
        <v>3772.31</v>
      </c>
      <c r="S29" s="3">
        <f>SUM(R29*0.63)</f>
        <v>2376.5553</v>
      </c>
    </row>
    <row r="30" spans="1:19" x14ac:dyDescent="0.2">
      <c r="A30" s="5" t="s">
        <v>9</v>
      </c>
      <c r="B30" s="3">
        <v>175177.89</v>
      </c>
      <c r="D30" s="3">
        <v>14059.68</v>
      </c>
      <c r="F30" s="3">
        <v>34959.56</v>
      </c>
      <c r="H30" s="3">
        <v>9042.59</v>
      </c>
      <c r="J30" s="3">
        <v>0</v>
      </c>
      <c r="L30" s="3">
        <v>12638.81</v>
      </c>
      <c r="N30" s="8">
        <f>SUM(F31/1605922.7)</f>
        <v>-1.4713124112387226E-2</v>
      </c>
      <c r="O30" s="1" t="s">
        <v>18</v>
      </c>
      <c r="P30">
        <v>499.67</v>
      </c>
      <c r="Q30" s="3">
        <f t="shared" si="0"/>
        <v>-7.3517067252365251</v>
      </c>
    </row>
    <row r="31" spans="1:19" x14ac:dyDescent="0.2">
      <c r="A31" s="1" t="s">
        <v>10</v>
      </c>
      <c r="B31" s="3">
        <f>SUM(B28+B29-B30)</f>
        <v>857481.19</v>
      </c>
      <c r="D31" s="3">
        <f>SUM(D28+D29-D30)</f>
        <v>426658.08</v>
      </c>
      <c r="F31" s="3">
        <f>SUM(F28+F29-F30)</f>
        <v>-23628.139999999996</v>
      </c>
      <c r="H31" s="3">
        <f>SUM(H28+H29-H30)</f>
        <v>160064.18</v>
      </c>
      <c r="J31" s="3">
        <f>SUM(J28+J29-J30)</f>
        <v>185347.39</v>
      </c>
      <c r="L31" s="3">
        <f>SUM(L28+L29-L30)</f>
        <v>866.71999999999935</v>
      </c>
      <c r="N31" s="8">
        <f>SUM(H31/1605922.7)</f>
        <v>9.9671161009181816E-2</v>
      </c>
      <c r="O31" s="1" t="s">
        <v>19</v>
      </c>
      <c r="P31">
        <v>499.67</v>
      </c>
      <c r="Q31" s="3">
        <f t="shared" si="0"/>
        <v>49.80268902145788</v>
      </c>
    </row>
    <row r="32" spans="1:19" x14ac:dyDescent="0.2">
      <c r="A32" s="4">
        <v>39814</v>
      </c>
      <c r="N32" s="8">
        <f>SUM(J31/1605922.7)</f>
        <v>0.11541488889845072</v>
      </c>
      <c r="O32" s="1" t="s">
        <v>20</v>
      </c>
      <c r="P32">
        <v>499.67</v>
      </c>
      <c r="Q32" s="3">
        <f t="shared" si="0"/>
        <v>57.669357535888878</v>
      </c>
      <c r="R32">
        <v>3772.31</v>
      </c>
      <c r="S32" s="3">
        <f>SUM(R32*0.03)</f>
        <v>113.16929999999999</v>
      </c>
    </row>
    <row r="33" spans="1:19" x14ac:dyDescent="0.2">
      <c r="A33" s="1" t="s">
        <v>7</v>
      </c>
      <c r="B33" s="3">
        <v>857481.19</v>
      </c>
      <c r="D33" s="3">
        <v>426658.08</v>
      </c>
      <c r="F33" s="3">
        <v>-23628.14</v>
      </c>
      <c r="H33" s="3">
        <v>160064.18</v>
      </c>
      <c r="J33" s="3">
        <v>185347.39</v>
      </c>
      <c r="L33" s="3">
        <v>866.72</v>
      </c>
      <c r="N33" s="8">
        <f>SUM(B36/1622675.12)</f>
        <v>0.5526390519871901</v>
      </c>
      <c r="O33" s="1" t="s">
        <v>16</v>
      </c>
      <c r="P33">
        <v>494.32</v>
      </c>
      <c r="Q33" s="3">
        <f t="shared" si="0"/>
        <v>273.18053617830782</v>
      </c>
      <c r="R33">
        <v>1866.72</v>
      </c>
      <c r="S33" s="3">
        <f>SUM(R33*0.34)</f>
        <v>634.68480000000011</v>
      </c>
    </row>
    <row r="34" spans="1:19" x14ac:dyDescent="0.2">
      <c r="A34" s="5" t="s">
        <v>8</v>
      </c>
      <c r="B34" s="3">
        <v>225585.06</v>
      </c>
      <c r="D34" s="3">
        <v>3947.43</v>
      </c>
      <c r="F34" s="3">
        <v>9397.14</v>
      </c>
      <c r="H34" s="3">
        <v>472.3</v>
      </c>
      <c r="J34" s="3">
        <v>1765.5</v>
      </c>
      <c r="L34" s="3">
        <v>15767.17</v>
      </c>
      <c r="N34" s="8">
        <f>SUM(D36/1622675.12)</f>
        <v>0.26297106841694839</v>
      </c>
      <c r="O34" s="1" t="s">
        <v>17</v>
      </c>
      <c r="P34">
        <v>494.32</v>
      </c>
      <c r="Q34" s="3">
        <f t="shared" si="0"/>
        <v>129.99185853986592</v>
      </c>
      <c r="R34">
        <v>1866.72</v>
      </c>
      <c r="S34" s="3">
        <f>SUM(R34*0.63)</f>
        <v>1176.0336</v>
      </c>
    </row>
    <row r="35" spans="1:19" x14ac:dyDescent="0.2">
      <c r="A35" s="5" t="s">
        <v>9</v>
      </c>
      <c r="B35" s="3">
        <v>186312.61</v>
      </c>
      <c r="D35" s="3">
        <v>3888.9</v>
      </c>
      <c r="F35" s="3">
        <v>34213.5</v>
      </c>
      <c r="H35" s="3">
        <v>0</v>
      </c>
      <c r="J35" s="3">
        <v>0</v>
      </c>
      <c r="L35" s="3">
        <v>13277.71</v>
      </c>
      <c r="N35" s="8">
        <f>SUM(F36/1622675.12)</f>
        <v>-2.9854713000098256E-2</v>
      </c>
      <c r="O35" s="1" t="s">
        <v>18</v>
      </c>
      <c r="P35">
        <v>494.32</v>
      </c>
      <c r="Q35" s="3">
        <f t="shared" si="0"/>
        <v>-14.757781730208571</v>
      </c>
    </row>
    <row r="36" spans="1:19" x14ac:dyDescent="0.2">
      <c r="A36" s="1" t="s">
        <v>10</v>
      </c>
      <c r="B36" s="3">
        <f>SUM(B33+B34-B35)</f>
        <v>896753.64</v>
      </c>
      <c r="D36" s="3">
        <f>SUM(D33+D34-D35)</f>
        <v>426716.61</v>
      </c>
      <c r="F36" s="3">
        <f>SUM(F33+F34-F35)</f>
        <v>-48444.5</v>
      </c>
      <c r="H36" s="3">
        <f>SUM(H33+H34-H35)</f>
        <v>160536.47999999998</v>
      </c>
      <c r="J36" s="3">
        <f>SUM(J33+J34-J35)</f>
        <v>187112.89</v>
      </c>
      <c r="L36" s="3">
        <f>SUM(L33+L34-L35)</f>
        <v>3356.1800000000003</v>
      </c>
      <c r="N36" s="8">
        <f>SUM(H36/1622675.12)</f>
        <v>9.8933223305968959E-2</v>
      </c>
      <c r="O36" s="1" t="s">
        <v>19</v>
      </c>
      <c r="P36">
        <v>494.32</v>
      </c>
      <c r="Q36" s="3">
        <f t="shared" si="0"/>
        <v>48.904670944606572</v>
      </c>
    </row>
    <row r="37" spans="1:19" x14ac:dyDescent="0.2">
      <c r="A37" s="4">
        <v>39845</v>
      </c>
      <c r="N37" s="8">
        <f>SUM(J36/1622675.12)</f>
        <v>0.11531136928999072</v>
      </c>
      <c r="O37" s="1" t="s">
        <v>20</v>
      </c>
      <c r="P37">
        <v>494.32</v>
      </c>
      <c r="Q37" s="3">
        <f t="shared" si="0"/>
        <v>57.000716067428215</v>
      </c>
      <c r="R37">
        <v>1866.72</v>
      </c>
      <c r="S37" s="3">
        <f>SUM(R37*0.03)</f>
        <v>56.001599999999996</v>
      </c>
    </row>
    <row r="38" spans="1:19" x14ac:dyDescent="0.2">
      <c r="A38" s="1" t="s">
        <v>7</v>
      </c>
      <c r="B38" s="3">
        <v>896753.64</v>
      </c>
      <c r="D38" s="3">
        <v>426716.61</v>
      </c>
      <c r="F38" s="3">
        <v>-48444.5</v>
      </c>
      <c r="H38" s="3">
        <v>160536.48000000001</v>
      </c>
      <c r="J38" s="3">
        <v>187112.89</v>
      </c>
      <c r="L38" s="3">
        <v>3356.18</v>
      </c>
      <c r="N38" s="8">
        <f>SUM(B41/1552178.8)</f>
        <v>0.54780990437441868</v>
      </c>
      <c r="O38" s="1" t="s">
        <v>16</v>
      </c>
      <c r="P38">
        <v>441.4</v>
      </c>
      <c r="Q38" s="3">
        <f t="shared" si="0"/>
        <v>241.8032917908684</v>
      </c>
      <c r="R38">
        <v>265.16000000000003</v>
      </c>
      <c r="S38" s="3">
        <f>SUM(R38*0.34)</f>
        <v>90.15440000000001</v>
      </c>
    </row>
    <row r="39" spans="1:19" x14ac:dyDescent="0.2">
      <c r="A39" s="5" t="s">
        <v>8</v>
      </c>
      <c r="B39" s="3">
        <v>132749.79999999999</v>
      </c>
      <c r="D39" s="3">
        <v>4506.5</v>
      </c>
      <c r="F39" s="3">
        <v>9236.5300000000007</v>
      </c>
      <c r="H39" s="3">
        <v>540.78</v>
      </c>
      <c r="J39" s="3">
        <v>1811.6</v>
      </c>
      <c r="L39" s="3">
        <v>18587.28</v>
      </c>
      <c r="N39" s="8">
        <f>SUM(D41/1552178.8)</f>
        <v>0.27575070603979385</v>
      </c>
      <c r="O39" s="1" t="s">
        <v>17</v>
      </c>
      <c r="P39">
        <v>441.4</v>
      </c>
      <c r="Q39" s="3">
        <f t="shared" si="0"/>
        <v>121.71636164596499</v>
      </c>
      <c r="R39">
        <v>265.16000000000003</v>
      </c>
      <c r="S39" s="3">
        <f>SUM(R39*0.63)</f>
        <v>167.05080000000001</v>
      </c>
    </row>
    <row r="40" spans="1:19" x14ac:dyDescent="0.2">
      <c r="A40" s="5" t="s">
        <v>9</v>
      </c>
      <c r="B40" s="3">
        <v>179204.52</v>
      </c>
      <c r="D40" s="3">
        <v>3208.71</v>
      </c>
      <c r="F40" s="3">
        <v>36928.300000000003</v>
      </c>
      <c r="H40" s="3">
        <v>0</v>
      </c>
      <c r="J40" s="3">
        <v>0</v>
      </c>
      <c r="L40" s="3">
        <v>14598.07</v>
      </c>
      <c r="N40" s="8">
        <f>SUM(F41/1552178.8)</f>
        <v>-4.9051223995586077E-2</v>
      </c>
      <c r="O40" s="1" t="s">
        <v>18</v>
      </c>
      <c r="P40">
        <v>441.4</v>
      </c>
      <c r="Q40" s="3">
        <f t="shared" si="0"/>
        <v>-21.651210271651692</v>
      </c>
    </row>
    <row r="41" spans="1:19" x14ac:dyDescent="0.2">
      <c r="A41" s="1" t="s">
        <v>10</v>
      </c>
      <c r="B41" s="3">
        <f>SUM(B38+B39-B40)</f>
        <v>850298.91999999993</v>
      </c>
      <c r="D41" s="3">
        <f>SUM(D38+D39-D40)</f>
        <v>428014.39999999997</v>
      </c>
      <c r="F41" s="3">
        <f>SUM(F38+F39-F40)</f>
        <v>-76136.27</v>
      </c>
      <c r="H41" s="3">
        <f>SUM(H38+H39-H40)</f>
        <v>161077.26</v>
      </c>
      <c r="J41" s="3">
        <f>SUM(J38+J39-J40)</f>
        <v>188924.49000000002</v>
      </c>
      <c r="L41" s="3">
        <f>SUM(L38+L39-L40)</f>
        <v>7345.3899999999994</v>
      </c>
      <c r="N41" s="8">
        <f>SUM(H41/1552178.8)</f>
        <v>0.10377493881503858</v>
      </c>
      <c r="O41" s="1" t="s">
        <v>19</v>
      </c>
      <c r="P41">
        <v>441.4</v>
      </c>
      <c r="Q41" s="3">
        <f t="shared" si="0"/>
        <v>45.806257992958024</v>
      </c>
    </row>
    <row r="42" spans="1:19" x14ac:dyDescent="0.2">
      <c r="A42" s="4">
        <v>39873</v>
      </c>
      <c r="N42" s="8">
        <f>SUM(J41/1552178.8)</f>
        <v>0.12171567476633492</v>
      </c>
      <c r="O42" s="1" t="s">
        <v>20</v>
      </c>
      <c r="P42">
        <v>441.4</v>
      </c>
      <c r="Q42" s="3">
        <f t="shared" si="0"/>
        <v>53.72529884186023</v>
      </c>
      <c r="R42">
        <v>265.16000000000003</v>
      </c>
      <c r="S42" s="3">
        <f>SUM(R42*0.03)</f>
        <v>7.9548000000000005</v>
      </c>
    </row>
    <row r="43" spans="1:19" x14ac:dyDescent="0.2">
      <c r="A43" s="1" t="s">
        <v>7</v>
      </c>
      <c r="B43" s="3">
        <v>850298.92</v>
      </c>
      <c r="D43" s="3">
        <v>428014.4</v>
      </c>
      <c r="F43" s="3">
        <v>-76136.27</v>
      </c>
      <c r="H43" s="3">
        <v>161077.26</v>
      </c>
      <c r="J43" s="3">
        <v>188924.49</v>
      </c>
      <c r="L43" s="3">
        <v>7345.39</v>
      </c>
      <c r="N43" s="8">
        <f>SUM(B46/1506149.86)</f>
        <v>0.54363513999861868</v>
      </c>
      <c r="O43" s="1" t="s">
        <v>16</v>
      </c>
      <c r="P43">
        <v>458.94</v>
      </c>
      <c r="Q43" s="3">
        <f t="shared" si="0"/>
        <v>249.49591115096607</v>
      </c>
      <c r="R43">
        <v>260.83999999999997</v>
      </c>
      <c r="S43" s="3">
        <f>SUM(R43*0.34)</f>
        <v>88.685599999999994</v>
      </c>
    </row>
    <row r="44" spans="1:19" x14ac:dyDescent="0.2">
      <c r="A44" s="5" t="s">
        <v>8</v>
      </c>
      <c r="B44" s="3">
        <v>157024.34</v>
      </c>
      <c r="D44" s="3">
        <v>6184.18</v>
      </c>
      <c r="F44" s="3">
        <v>17097.5</v>
      </c>
      <c r="H44" s="3">
        <v>741.04</v>
      </c>
      <c r="J44" s="3">
        <v>2488.6799999999998</v>
      </c>
      <c r="L44" s="3">
        <v>16395.810000000001</v>
      </c>
      <c r="N44" s="8">
        <f>SUM(D46/1506149.86)</f>
        <v>0.28479107650018304</v>
      </c>
      <c r="O44" s="1" t="s">
        <v>17</v>
      </c>
      <c r="P44">
        <v>458.94</v>
      </c>
      <c r="Q44" s="3">
        <f t="shared" si="0"/>
        <v>130.702016648994</v>
      </c>
      <c r="R44">
        <v>260.83999999999997</v>
      </c>
      <c r="S44" s="3">
        <f>SUM(R44*0.63)</f>
        <v>164.32919999999999</v>
      </c>
    </row>
    <row r="45" spans="1:19" x14ac:dyDescent="0.2">
      <c r="A45" s="5" t="s">
        <v>9</v>
      </c>
      <c r="B45" s="3">
        <v>188527.27</v>
      </c>
      <c r="D45" s="3">
        <v>5260.54</v>
      </c>
      <c r="F45" s="3">
        <v>35776.870000000003</v>
      </c>
      <c r="H45" s="3">
        <v>0</v>
      </c>
      <c r="J45" s="3">
        <v>0</v>
      </c>
      <c r="L45" s="3">
        <v>13099.46</v>
      </c>
      <c r="N45" s="8">
        <f>SUM(F46/1506149.86)</f>
        <v>-6.2952327997427837E-2</v>
      </c>
      <c r="O45" s="1" t="s">
        <v>18</v>
      </c>
      <c r="P45">
        <v>458.94</v>
      </c>
      <c r="Q45" s="3">
        <f t="shared" si="0"/>
        <v>-28.891341411139532</v>
      </c>
    </row>
    <row r="46" spans="1:19" x14ac:dyDescent="0.2">
      <c r="A46" s="1" t="s">
        <v>10</v>
      </c>
      <c r="B46" s="3">
        <f>SUM(B43+B44-B45)</f>
        <v>818795.99</v>
      </c>
      <c r="D46" s="3">
        <f>SUM(D43+D44-D45)</f>
        <v>428938.04000000004</v>
      </c>
      <c r="F46" s="3">
        <f>SUM(F43+F44-F45)</f>
        <v>-94815.640000000014</v>
      </c>
      <c r="H46" s="3">
        <f>SUM(H43+H44-H45)</f>
        <v>161818.30000000002</v>
      </c>
      <c r="J46" s="3">
        <f>SUM(J43+J44-J45)</f>
        <v>191413.16999999998</v>
      </c>
      <c r="L46" s="3">
        <f>SUM(L43+L44-L45)</f>
        <v>10641.740000000002</v>
      </c>
      <c r="N46" s="8">
        <f>SUM(H46/1506149.86)</f>
        <v>0.10743837933895901</v>
      </c>
      <c r="O46" s="1" t="s">
        <v>19</v>
      </c>
      <c r="P46">
        <v>458.94</v>
      </c>
      <c r="Q46" s="3">
        <f t="shared" si="0"/>
        <v>49.307769813821849</v>
      </c>
    </row>
    <row r="47" spans="1:19" x14ac:dyDescent="0.2">
      <c r="A47" s="4">
        <v>39904</v>
      </c>
      <c r="N47" s="8">
        <f>SUM(J46/1506149.86)</f>
        <v>0.12708773215966701</v>
      </c>
      <c r="O47" s="1" t="s">
        <v>20</v>
      </c>
      <c r="P47">
        <v>458.94</v>
      </c>
      <c r="Q47" s="3">
        <f t="shared" si="0"/>
        <v>58.325643797357579</v>
      </c>
      <c r="R47">
        <v>260.83999999999997</v>
      </c>
      <c r="S47" s="3">
        <f>SUM(R47*0.03)</f>
        <v>7.8251999999999988</v>
      </c>
    </row>
    <row r="48" spans="1:19" x14ac:dyDescent="0.2">
      <c r="A48" s="1" t="s">
        <v>7</v>
      </c>
      <c r="B48" s="3">
        <v>818795.99</v>
      </c>
      <c r="D48" s="3">
        <v>428938.04</v>
      </c>
      <c r="F48" s="3">
        <v>-94815.64</v>
      </c>
      <c r="H48" s="3">
        <v>161818.29999999999</v>
      </c>
      <c r="J48" s="3">
        <v>191413.17</v>
      </c>
      <c r="L48" s="3">
        <v>10641.74</v>
      </c>
      <c r="N48" s="8">
        <f>SUM(B51/1599923.56)</f>
        <v>0.57304960869505539</v>
      </c>
      <c r="O48" s="1" t="s">
        <v>16</v>
      </c>
      <c r="P48">
        <v>452.94</v>
      </c>
      <c r="Q48" s="3">
        <f t="shared" si="0"/>
        <v>259.55708976233836</v>
      </c>
      <c r="R48">
        <v>179.51</v>
      </c>
      <c r="S48" s="3">
        <f>SUM(R48*0.34)</f>
        <v>61.0334</v>
      </c>
    </row>
    <row r="49" spans="1:19" x14ac:dyDescent="0.2">
      <c r="A49" s="5" t="s">
        <v>8</v>
      </c>
      <c r="B49" s="3">
        <v>278902.63</v>
      </c>
      <c r="D49" s="3">
        <v>11343.53</v>
      </c>
      <c r="F49" s="3">
        <v>13522.82</v>
      </c>
      <c r="H49" s="3">
        <v>1361.22</v>
      </c>
      <c r="J49" s="3">
        <v>4547.08</v>
      </c>
      <c r="L49" s="3">
        <v>18796.71</v>
      </c>
      <c r="N49" s="8">
        <f>SUM(D51/1599923.56)</f>
        <v>0.2733937301354572</v>
      </c>
      <c r="O49" s="1" t="s">
        <v>17</v>
      </c>
      <c r="P49">
        <v>452.94</v>
      </c>
      <c r="Q49" s="3">
        <f t="shared" si="0"/>
        <v>123.83095612755399</v>
      </c>
      <c r="R49">
        <v>179.51</v>
      </c>
      <c r="S49" s="3">
        <f>SUM(R49*0.63)</f>
        <v>113.09129999999999</v>
      </c>
    </row>
    <row r="50" spans="1:19" x14ac:dyDescent="0.2">
      <c r="A50" s="5" t="s">
        <v>9</v>
      </c>
      <c r="B50" s="3">
        <v>180863.05</v>
      </c>
      <c r="D50" s="3">
        <v>2872.5</v>
      </c>
      <c r="F50" s="3">
        <v>32168.03</v>
      </c>
      <c r="H50" s="3">
        <v>0</v>
      </c>
      <c r="J50" s="3">
        <v>0</v>
      </c>
      <c r="L50" s="3">
        <v>17039.89</v>
      </c>
      <c r="N50" s="8">
        <f>SUM(F51/1599923.56)</f>
        <v>-7.0916419281931195E-2</v>
      </c>
      <c r="O50" s="1" t="s">
        <v>18</v>
      </c>
      <c r="P50">
        <v>452.94</v>
      </c>
      <c r="Q50" s="3">
        <f t="shared" si="0"/>
        <v>-32.120882949557917</v>
      </c>
    </row>
    <row r="51" spans="1:19" x14ac:dyDescent="0.2">
      <c r="A51" s="1" t="s">
        <v>10</v>
      </c>
      <c r="B51" s="3">
        <f>SUM(B48+B49-B50)</f>
        <v>916835.57000000007</v>
      </c>
      <c r="D51" s="3">
        <f>SUM(D48+D49-D50)</f>
        <v>437409.07</v>
      </c>
      <c r="F51" s="3">
        <f>SUM(F48+F49-F50)</f>
        <v>-113460.85</v>
      </c>
      <c r="H51" s="3">
        <f>SUM(H48+H49-H50)</f>
        <v>163179.51999999999</v>
      </c>
      <c r="J51" s="3">
        <f>SUM(J48+J49-J50)</f>
        <v>195960.25</v>
      </c>
      <c r="L51" s="3">
        <f>SUM(L48+L49-L50)</f>
        <v>12398.559999999998</v>
      </c>
      <c r="N51" s="8">
        <f>SUM(H51/1599923.56)</f>
        <v>0.10199207267127186</v>
      </c>
      <c r="O51" s="1" t="s">
        <v>19</v>
      </c>
      <c r="P51">
        <v>452.94</v>
      </c>
      <c r="Q51" s="3">
        <f t="shared" si="0"/>
        <v>46.196289395725877</v>
      </c>
    </row>
    <row r="52" spans="1:19" x14ac:dyDescent="0.2">
      <c r="A52" s="4">
        <v>39934</v>
      </c>
      <c r="N52" s="8">
        <f>SUM(J51/1599923.56)</f>
        <v>0.12248100778014669</v>
      </c>
      <c r="O52" s="1" t="s">
        <v>20</v>
      </c>
      <c r="P52">
        <v>452.94</v>
      </c>
      <c r="Q52" s="3">
        <f t="shared" si="0"/>
        <v>55.476547663939641</v>
      </c>
      <c r="R52">
        <v>179.51</v>
      </c>
      <c r="S52" s="3">
        <f>SUM(R52*0.03)</f>
        <v>5.3852999999999991</v>
      </c>
    </row>
    <row r="53" spans="1:19" x14ac:dyDescent="0.2">
      <c r="A53" s="1" t="s">
        <v>7</v>
      </c>
      <c r="B53" s="3">
        <v>916835.57</v>
      </c>
      <c r="D53" s="3">
        <v>437409.07</v>
      </c>
      <c r="F53" s="3">
        <v>-113460.85</v>
      </c>
      <c r="H53" s="3">
        <v>163179.51999999999</v>
      </c>
      <c r="J53" s="3">
        <v>195960.25</v>
      </c>
      <c r="L53" s="3">
        <v>12398.56</v>
      </c>
      <c r="N53" s="8">
        <f>SUM(B56/2096686.18)</f>
        <v>0.53544341099248338</v>
      </c>
      <c r="O53" s="1" t="s">
        <v>16</v>
      </c>
      <c r="P53">
        <v>568.02</v>
      </c>
      <c r="Q53" s="3">
        <f t="shared" si="0"/>
        <v>304.14256631195042</v>
      </c>
      <c r="R53">
        <v>1332.96</v>
      </c>
      <c r="S53" s="3">
        <f>SUM(R53*0.34)</f>
        <v>453.20640000000003</v>
      </c>
    </row>
    <row r="54" spans="1:19" x14ac:dyDescent="0.2">
      <c r="A54" s="5" t="s">
        <v>8</v>
      </c>
      <c r="B54" s="3">
        <v>376428.44</v>
      </c>
      <c r="D54" s="3">
        <v>169535.04</v>
      </c>
      <c r="F54" s="3">
        <v>101997.25</v>
      </c>
      <c r="H54" s="3">
        <v>20344.21</v>
      </c>
      <c r="J54" s="3">
        <v>67824.160000000003</v>
      </c>
      <c r="L54" s="3">
        <v>7929.6</v>
      </c>
      <c r="N54" s="8">
        <f>SUM(D56/2096686.18)</f>
        <v>0.27796990582539161</v>
      </c>
      <c r="O54" s="1" t="s">
        <v>17</v>
      </c>
      <c r="P54">
        <v>568.02</v>
      </c>
      <c r="Q54" s="3">
        <f t="shared" si="0"/>
        <v>157.89246590693892</v>
      </c>
      <c r="R54">
        <v>1332.96</v>
      </c>
      <c r="S54" s="3">
        <f>SUM(R54*0.63)</f>
        <v>839.76480000000004</v>
      </c>
    </row>
    <row r="55" spans="1:19" x14ac:dyDescent="0.2">
      <c r="A55" s="5" t="s">
        <v>9</v>
      </c>
      <c r="B55" s="3">
        <v>170607.21</v>
      </c>
      <c r="D55" s="3">
        <v>24128.45</v>
      </c>
      <c r="F55" s="3">
        <v>44630.82</v>
      </c>
      <c r="H55" s="3">
        <v>0</v>
      </c>
      <c r="J55" s="3">
        <v>0</v>
      </c>
      <c r="L55" s="3">
        <v>9694.4</v>
      </c>
      <c r="N55" s="8">
        <f>SUM(F56/2096686.18)</f>
        <v>-2.6753846395839748E-2</v>
      </c>
      <c r="O55" s="1" t="s">
        <v>18</v>
      </c>
      <c r="P55">
        <v>568.02</v>
      </c>
      <c r="Q55" s="3">
        <f t="shared" si="0"/>
        <v>-15.196719829764893</v>
      </c>
    </row>
    <row r="56" spans="1:19" x14ac:dyDescent="0.2">
      <c r="A56" s="1" t="s">
        <v>10</v>
      </c>
      <c r="B56" s="3">
        <f>SUM(B53+B54-B55)</f>
        <v>1122656.8</v>
      </c>
      <c r="D56" s="3">
        <f>SUM(D53+D54-D55)</f>
        <v>582815.66</v>
      </c>
      <c r="F56" s="3">
        <f>SUM(F53+F54-F55)</f>
        <v>-56094.420000000006</v>
      </c>
      <c r="H56" s="3">
        <f>SUM(H53+H54-H55)</f>
        <v>183523.72999999998</v>
      </c>
      <c r="J56" s="3">
        <f>SUM(J53+J54-J55)</f>
        <v>263784.41000000003</v>
      </c>
      <c r="L56" s="3">
        <f>SUM(L53+L54-L55)</f>
        <v>10633.76</v>
      </c>
      <c r="N56" s="8">
        <f>SUM(H56/2096686.18)</f>
        <v>8.753037614813676E-2</v>
      </c>
      <c r="O56" s="1" t="s">
        <v>19</v>
      </c>
      <c r="P56">
        <v>568.02</v>
      </c>
      <c r="Q56" s="3">
        <f t="shared" si="0"/>
        <v>49.719004259664644</v>
      </c>
    </row>
    <row r="57" spans="1:19" x14ac:dyDescent="0.2">
      <c r="A57" s="4">
        <v>39965</v>
      </c>
      <c r="N57" s="8">
        <f>SUM(J56/2096686.18)</f>
        <v>0.12581015342982804</v>
      </c>
      <c r="O57" s="1" t="s">
        <v>20</v>
      </c>
      <c r="P57">
        <v>568.02</v>
      </c>
      <c r="Q57" s="3">
        <f t="shared" si="0"/>
        <v>71.462683351210927</v>
      </c>
      <c r="R57">
        <v>1332.96</v>
      </c>
      <c r="S57" s="3">
        <f>SUM(R57*0.03)</f>
        <v>39.988799999999998</v>
      </c>
    </row>
    <row r="58" spans="1:19" x14ac:dyDescent="0.2">
      <c r="A58" s="1" t="s">
        <v>7</v>
      </c>
      <c r="B58" s="3">
        <v>1122656.8</v>
      </c>
      <c r="D58" s="3">
        <v>582815.66</v>
      </c>
      <c r="F58" s="3">
        <v>-56094.42</v>
      </c>
      <c r="H58" s="3">
        <v>183523.73</v>
      </c>
      <c r="J58" s="3">
        <v>263784.40999999997</v>
      </c>
      <c r="L58" s="3">
        <v>10633.76</v>
      </c>
      <c r="N58" s="8">
        <f>SUM(B68/2164961.11)</f>
        <v>0.54405210077884503</v>
      </c>
      <c r="O58" s="1" t="s">
        <v>16</v>
      </c>
      <c r="P58">
        <v>677.37</v>
      </c>
      <c r="Q58" s="3">
        <f t="shared" si="0"/>
        <v>368.52457150456627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238039.63</v>
      </c>
      <c r="D59" s="3">
        <v>-6.82</v>
      </c>
      <c r="F59" s="3">
        <v>135560.63</v>
      </c>
      <c r="H59" s="3">
        <v>-635.54</v>
      </c>
      <c r="J59" s="3">
        <v>-3253.83</v>
      </c>
      <c r="L59" s="3">
        <v>15020</v>
      </c>
      <c r="N59" s="8">
        <f>SUM(D61/2164961.11)</f>
        <v>0.2487021810752065</v>
      </c>
      <c r="O59" s="1" t="s">
        <v>17</v>
      </c>
      <c r="P59">
        <v>677.37</v>
      </c>
      <c r="Q59" s="3">
        <f t="shared" si="0"/>
        <v>168.46339639491262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432929.25</v>
      </c>
      <c r="D60" s="3">
        <v>44378.29</v>
      </c>
      <c r="F60" s="3">
        <v>61054.73</v>
      </c>
      <c r="H60" s="3">
        <v>568.75</v>
      </c>
      <c r="J60" s="3">
        <v>1074.69</v>
      </c>
      <c r="L60" s="3">
        <v>20807.05</v>
      </c>
      <c r="N60" s="8">
        <f>SUM(F68/2164961.11)</f>
        <v>2.6689537162171012E-2</v>
      </c>
      <c r="O60" s="1" t="s">
        <v>18</v>
      </c>
      <c r="P60">
        <v>677.37</v>
      </c>
      <c r="Q60" s="3">
        <f t="shared" si="0"/>
        <v>18.078691787539778</v>
      </c>
    </row>
    <row r="61" spans="1:19" x14ac:dyDescent="0.2">
      <c r="A61" s="1" t="s">
        <v>10</v>
      </c>
      <c r="B61" s="3">
        <f>SUM(B58+B59-B60)</f>
        <v>927767.18000000017</v>
      </c>
      <c r="D61" s="3">
        <f>SUM(D58+D59-D60)</f>
        <v>538430.55000000005</v>
      </c>
      <c r="F61" s="3">
        <f>SUM(F58+F59-F60)</f>
        <v>18411.480000000003</v>
      </c>
      <c r="H61" s="3">
        <f>SUM(H58+H59-H60)</f>
        <v>182319.44</v>
      </c>
      <c r="J61" s="3">
        <f>SUM(J58+J59-J60)</f>
        <v>259455.88999999998</v>
      </c>
      <c r="L61" s="3">
        <f>SUM(L58+L59-L60)</f>
        <v>4846.7100000000028</v>
      </c>
      <c r="N61" s="8">
        <f>SUM(H61/2164961.11)</f>
        <v>8.4213725206361792E-2</v>
      </c>
      <c r="O61" s="1" t="s">
        <v>19</v>
      </c>
      <c r="P61">
        <v>677.37</v>
      </c>
      <c r="Q61" s="3">
        <f t="shared" si="0"/>
        <v>57.043851043033285</v>
      </c>
    </row>
    <row r="62" spans="1:19" x14ac:dyDescent="0.2">
      <c r="A62" s="5" t="s">
        <v>26</v>
      </c>
      <c r="B62" s="3">
        <v>232044.44</v>
      </c>
      <c r="F62" s="3">
        <v>33497.879999999997</v>
      </c>
      <c r="L62" s="3">
        <v>11793.45</v>
      </c>
      <c r="N62" s="8">
        <f>SUM(J61/2164961.11)</f>
        <v>0.11984321048612277</v>
      </c>
      <c r="O62" s="1" t="s">
        <v>20</v>
      </c>
      <c r="P62">
        <v>677.37</v>
      </c>
      <c r="Q62" s="3">
        <f t="shared" si="0"/>
        <v>81.17819548698499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45049.94</v>
      </c>
      <c r="D63" s="3">
        <v>14559.01</v>
      </c>
      <c r="F63" s="3">
        <v>5733.45</v>
      </c>
      <c r="L63" s="3">
        <v>189.5</v>
      </c>
    </row>
    <row r="64" spans="1:19" x14ac:dyDescent="0.2">
      <c r="A64" s="5" t="s">
        <v>28</v>
      </c>
      <c r="B64" s="3">
        <v>-2561</v>
      </c>
      <c r="F64" s="3">
        <v>139</v>
      </c>
    </row>
    <row r="65" spans="1:20" x14ac:dyDescent="0.2">
      <c r="A65" s="5" t="s">
        <v>29</v>
      </c>
      <c r="L65" s="3">
        <v>1462.13</v>
      </c>
    </row>
    <row r="66" spans="1:20" x14ac:dyDescent="0.2">
      <c r="A66" s="5" t="s">
        <v>30</v>
      </c>
      <c r="B66" s="3">
        <v>250</v>
      </c>
      <c r="H66" s="3">
        <v>94.83</v>
      </c>
    </row>
    <row r="67" spans="1:20" x14ac:dyDescent="0.2">
      <c r="A67" s="5" t="s">
        <v>31</v>
      </c>
      <c r="B67" s="3">
        <v>24198.92</v>
      </c>
    </row>
    <row r="68" spans="1:20" x14ac:dyDescent="0.2">
      <c r="A68" s="1" t="s">
        <v>15</v>
      </c>
      <c r="B68" s="3">
        <f>SUM(B61+B62+B63+B64+B65-B66-B67)</f>
        <v>1177851.6400000001</v>
      </c>
      <c r="D68" s="3">
        <f t="shared" ref="D68:L68" si="1">SUM(D61+D62+D63+D64+D65-D66-D67)</f>
        <v>552989.56000000006</v>
      </c>
      <c r="E68" s="3" t="s">
        <v>11</v>
      </c>
      <c r="F68" s="3">
        <f t="shared" si="1"/>
        <v>57781.81</v>
      </c>
      <c r="G68" s="3">
        <f t="shared" si="1"/>
        <v>0</v>
      </c>
      <c r="H68" s="3">
        <f t="shared" si="1"/>
        <v>182224.61000000002</v>
      </c>
      <c r="I68" s="3">
        <f t="shared" si="1"/>
        <v>0</v>
      </c>
      <c r="J68" s="3">
        <f t="shared" si="1"/>
        <v>259455.88999999998</v>
      </c>
      <c r="K68" s="3">
        <f t="shared" si="1"/>
        <v>0</v>
      </c>
      <c r="L68" s="3">
        <f t="shared" si="1"/>
        <v>18291.790000000005</v>
      </c>
      <c r="O68" s="1" t="s">
        <v>16</v>
      </c>
      <c r="Q68" s="2">
        <f>SUM(Q3,Q8,Q13,Q18,Q23,Q28,Q33,Q38,Q43,Q48,Q53,Q58)</f>
        <v>3075.7016887668019</v>
      </c>
      <c r="S68" s="2">
        <f>SUM(S3,S8,S13,S18,S23,S28,S33,S38,S43,S48,S53,S58)</f>
        <v>4948.9312</v>
      </c>
      <c r="T68" s="2">
        <f>SUM(Q68+S68+(Q70*0.4))</f>
        <v>7980.2904767669143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1616.3372779893039</v>
      </c>
      <c r="S69" s="2">
        <f>SUM(S4,S9,S14,S19,S24,S29,S34,S39,S44,S49,S54,S59)</f>
        <v>9170.0784000000003</v>
      </c>
      <c r="T69" s="2">
        <f>SUM(Q69+S69+(Q70*0.35))</f>
        <v>10747.616067489402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-110.85602999972124</v>
      </c>
      <c r="S70" s="2"/>
    </row>
    <row r="71" spans="1:20" x14ac:dyDescent="0.2">
      <c r="A71" s="1" t="s">
        <v>11</v>
      </c>
      <c r="B71" s="3">
        <f>SUM(B5,B10,B15,B20,B25,B30,B35,B40,B45,B50,B55,B60)</f>
        <v>2482006.83</v>
      </c>
      <c r="D71" s="3">
        <f>SUM(D5,D10,D15,D20,D25,D30,D35,D40,D45,D50,D55,D60)</f>
        <v>346219.5</v>
      </c>
      <c r="F71" s="3">
        <f>SUM(F5,F10,F15,F20,F25,F30,F35,F40,F45,F50,F55,F60)</f>
        <v>467974.94</v>
      </c>
      <c r="H71" s="3">
        <f>SUM(H5,H10,H15,H20,H25,H30,H35,H40,H45,H50,H55,H60)</f>
        <v>18788.940000000002</v>
      </c>
      <c r="J71" s="3">
        <f>SUM(J5,J10,J15,J20,J25,J30,J35,J40,J45,J50,J55,J60)</f>
        <v>147419.69</v>
      </c>
      <c r="L71" s="3">
        <f>SUM(L5,L10,L15,L20,L25,L30,L35,L40,L45,L50,L55,L60)</f>
        <v>162789.97999999995</v>
      </c>
      <c r="O71" s="1" t="s">
        <v>19</v>
      </c>
      <c r="Q71" s="2">
        <f>SUM(Q6,Q11,Q16,Q21,Q26,Q31,Q36,Q41,Q46,Q51,Q56,Q61)</f>
        <v>580.91257088496423</v>
      </c>
      <c r="S71" s="2"/>
      <c r="T71" s="2">
        <f>SUM(Q71+(Q70*0.125))</f>
        <v>567.05556713499902</v>
      </c>
    </row>
    <row r="72" spans="1:20" x14ac:dyDescent="0.2">
      <c r="A72" s="1" t="s">
        <v>11</v>
      </c>
      <c r="B72" s="15">
        <f>SUM(B68/B71)</f>
        <v>0.47455616389258692</v>
      </c>
      <c r="D72" s="15">
        <f>SUM(D68/D71)</f>
        <v>1.5972224556964587</v>
      </c>
      <c r="F72" s="15">
        <f>SUM(F68/F71)</f>
        <v>0.12347201754008451</v>
      </c>
      <c r="H72" s="15">
        <f>SUM(H68/H71)</f>
        <v>9.6985040135313643</v>
      </c>
      <c r="J72" s="15">
        <f>SUM(J68/J71)</f>
        <v>1.7599812480951491</v>
      </c>
      <c r="L72" s="15">
        <f>SUM(L68/L71)</f>
        <v>0.11236434822339808</v>
      </c>
      <c r="O72" s="1" t="s">
        <v>20</v>
      </c>
      <c r="Q72" s="2">
        <f>SUM(Q37,Q7,Q12,Q17,Q22,Q27,Q32,Q42,Q47,Q52,Q57,Q62)</f>
        <v>647.26899460093648</v>
      </c>
      <c r="S72" s="2">
        <f>SUM(S7,S12,S17,S22,S27,S32,S37,S42,S47,S52,S57,S62)</f>
        <v>436.67039999999992</v>
      </c>
      <c r="T72" s="2">
        <f>SUM(Q72+S72+(Q70*0.125))</f>
        <v>1070.0823908509713</v>
      </c>
    </row>
    <row r="73" spans="1:20" x14ac:dyDescent="0.2">
      <c r="A73" s="1" t="s">
        <v>11</v>
      </c>
      <c r="B73" s="15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 t="s">
        <v>11</v>
      </c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5" zoomScaleNormal="100" workbookViewId="0">
      <selection activeCell="B64" sqref="B64"/>
    </sheetView>
  </sheetViews>
  <sheetFormatPr defaultRowHeight="12.75" x14ac:dyDescent="0.2"/>
  <cols>
    <col min="1" max="1" width="21.5703125" style="1" customWidth="1"/>
    <col min="2" max="2" width="13.28515625" style="3" customWidth="1"/>
    <col min="3" max="3" width="1" style="3" customWidth="1"/>
    <col min="4" max="4" width="19.5703125" style="3" customWidth="1"/>
    <col min="5" max="5" width="1.140625" style="3" customWidth="1"/>
    <col min="6" max="6" width="14.7109375" style="3" customWidth="1"/>
    <col min="7" max="7" width="1.5703125" style="3" customWidth="1"/>
    <col min="8" max="8" width="11.85546875" style="3" customWidth="1"/>
    <col min="9" max="9" width="1.42578125" style="3" customWidth="1"/>
    <col min="10" max="10" width="12.5703125" style="3" customWidth="1"/>
    <col min="11" max="11" width="0.7109375" style="3" customWidth="1"/>
    <col min="12" max="12" width="17.140625" style="3" customWidth="1"/>
    <col min="13" max="13" width="4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9" max="19" width="10.85546875" style="3" customWidth="1"/>
    <col min="20" max="20" width="10.140625" bestFit="1" customWidth="1"/>
  </cols>
  <sheetData>
    <row r="1" spans="1:19" s="1" customFormat="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39264</v>
      </c>
    </row>
    <row r="3" spans="1:19" x14ac:dyDescent="0.2">
      <c r="A3" s="1" t="s">
        <v>7</v>
      </c>
      <c r="B3" s="3">
        <v>531983.56000000006</v>
      </c>
      <c r="D3" s="3">
        <v>531020.02</v>
      </c>
      <c r="F3" s="3">
        <v>33273.85</v>
      </c>
      <c r="H3" s="3">
        <v>164945.78</v>
      </c>
      <c r="J3" s="3">
        <v>255862.45</v>
      </c>
      <c r="L3" s="3">
        <v>7949.93</v>
      </c>
      <c r="N3" s="8">
        <f>SUM(B6/1485697.73)</f>
        <v>0.44088192825064088</v>
      </c>
      <c r="O3" s="1" t="s">
        <v>16</v>
      </c>
      <c r="P3">
        <v>797.13</v>
      </c>
      <c r="Q3" s="3">
        <f>SUM(N3*P3)</f>
        <v>351.44021146643337</v>
      </c>
      <c r="R3">
        <v>2677.43</v>
      </c>
      <c r="S3" s="3">
        <f>SUM(R3*0.34)</f>
        <v>910.32619999999997</v>
      </c>
    </row>
    <row r="4" spans="1:19" x14ac:dyDescent="0.2">
      <c r="A4" s="5" t="s">
        <v>8</v>
      </c>
      <c r="B4" s="3">
        <v>290761.09999999998</v>
      </c>
      <c r="D4" s="3">
        <v>790.41</v>
      </c>
      <c r="F4" s="3">
        <v>21414.03</v>
      </c>
      <c r="H4" s="3">
        <v>94.83</v>
      </c>
      <c r="J4" s="3">
        <v>392.14</v>
      </c>
      <c r="L4" s="3">
        <v>0</v>
      </c>
      <c r="N4" s="8">
        <f>SUM(D6/1485697.73)</f>
        <v>0.35052473291454789</v>
      </c>
      <c r="O4" s="1" t="s">
        <v>17</v>
      </c>
      <c r="P4">
        <v>797.13</v>
      </c>
      <c r="Q4" s="3">
        <f t="shared" ref="Q4:Q62" si="0">SUM(N4*P4)</f>
        <v>279.41378034817353</v>
      </c>
      <c r="R4">
        <v>2677.43</v>
      </c>
      <c r="S4" s="3">
        <f>SUM(R4*0.63)</f>
        <v>1686.7809</v>
      </c>
    </row>
    <row r="5" spans="1:19" x14ac:dyDescent="0.2">
      <c r="A5" s="5" t="s">
        <v>9</v>
      </c>
      <c r="B5" s="3">
        <v>167727.38</v>
      </c>
      <c r="D5" s="3">
        <v>11036.63</v>
      </c>
      <c r="F5" s="3">
        <v>35676.81</v>
      </c>
      <c r="H5" s="3">
        <v>4198.37</v>
      </c>
      <c r="J5" s="3">
        <v>126201.25</v>
      </c>
      <c r="L5" s="3">
        <v>6165.7</v>
      </c>
      <c r="N5" s="8">
        <f>SUM(F6/1485697.73)</f>
        <v>1.2796055089886958E-2</v>
      </c>
      <c r="O5" s="1" t="s">
        <v>18</v>
      </c>
      <c r="P5">
        <v>797.13</v>
      </c>
      <c r="Q5" s="3">
        <f t="shared" si="0"/>
        <v>10.200119393801591</v>
      </c>
    </row>
    <row r="6" spans="1:19" x14ac:dyDescent="0.2">
      <c r="A6" s="1" t="s">
        <v>10</v>
      </c>
      <c r="B6" s="3">
        <f>SUM(B3+B4-B5)</f>
        <v>655017.28</v>
      </c>
      <c r="D6" s="3">
        <f>SUM(D3+D4-D5)</f>
        <v>520773.80000000005</v>
      </c>
      <c r="F6" s="3">
        <f>SUM(F3+F4-F5)</f>
        <v>19011.07</v>
      </c>
      <c r="H6" s="3">
        <f>SUM(H3+H4-H5)</f>
        <v>160842.23999999999</v>
      </c>
      <c r="J6" s="3">
        <f>SUM(J3+J4-J5)</f>
        <v>130053.34000000003</v>
      </c>
      <c r="L6" s="3">
        <f>SUM(L3+L4-L5)</f>
        <v>1784.2300000000005</v>
      </c>
      <c r="N6" s="8">
        <f>SUM(H6/1485697.73)</f>
        <v>0.10826040637485526</v>
      </c>
      <c r="O6" s="1" t="s">
        <v>19</v>
      </c>
      <c r="P6">
        <v>797.13</v>
      </c>
      <c r="Q6" s="3">
        <f t="shared" si="0"/>
        <v>86.297617733588368</v>
      </c>
    </row>
    <row r="7" spans="1:19" x14ac:dyDescent="0.2">
      <c r="A7" s="4">
        <v>39295</v>
      </c>
      <c r="N7" s="8">
        <f>SUM(J6/1485697.73)</f>
        <v>8.7536877370069099E-2</v>
      </c>
      <c r="O7" s="1" t="s">
        <v>20</v>
      </c>
      <c r="P7">
        <v>797.13</v>
      </c>
      <c r="Q7" s="3">
        <f t="shared" si="0"/>
        <v>69.778271058003185</v>
      </c>
      <c r="R7">
        <v>2677.43</v>
      </c>
      <c r="S7" s="3">
        <f>SUM(R7*0.03)</f>
        <v>80.32289999999999</v>
      </c>
    </row>
    <row r="8" spans="1:19" x14ac:dyDescent="0.2">
      <c r="A8" s="1" t="s">
        <v>7</v>
      </c>
      <c r="B8" s="3">
        <v>655017.28</v>
      </c>
      <c r="D8" s="3">
        <v>520773.8</v>
      </c>
      <c r="F8" s="3">
        <v>19011.07</v>
      </c>
      <c r="H8" s="3">
        <v>160842.23999999999</v>
      </c>
      <c r="J8" s="3">
        <v>130053.34</v>
      </c>
      <c r="L8" s="3">
        <v>1784.23</v>
      </c>
      <c r="N8" s="8">
        <f>SUM(B11/1420189.84)</f>
        <v>0.44646690332610744</v>
      </c>
      <c r="O8" s="1" t="s">
        <v>16</v>
      </c>
      <c r="P8">
        <v>804.52</v>
      </c>
      <c r="Q8" s="3">
        <f t="shared" si="0"/>
        <v>359.19155306391997</v>
      </c>
      <c r="R8">
        <v>441.34</v>
      </c>
      <c r="S8" s="3">
        <f>SUM(R8*0.34)</f>
        <v>150.0556</v>
      </c>
    </row>
    <row r="9" spans="1:19" x14ac:dyDescent="0.2">
      <c r="A9" s="5" t="s">
        <v>8</v>
      </c>
      <c r="B9" s="3">
        <v>142782.93</v>
      </c>
      <c r="D9" s="3">
        <v>-2199.12</v>
      </c>
      <c r="F9" s="3">
        <v>3708.91</v>
      </c>
      <c r="H9" s="3">
        <v>11.8</v>
      </c>
      <c r="J9" s="3">
        <v>-228.25</v>
      </c>
      <c r="L9" s="3">
        <v>-817.63</v>
      </c>
      <c r="N9" s="8">
        <f>SUM(D11/1420189.84)</f>
        <v>0.36190839810542508</v>
      </c>
      <c r="O9" s="1" t="s">
        <v>17</v>
      </c>
      <c r="P9">
        <v>804.52</v>
      </c>
      <c r="Q9" s="3">
        <f t="shared" si="0"/>
        <v>291.1625444437766</v>
      </c>
      <c r="R9">
        <v>441.34</v>
      </c>
      <c r="S9" s="3">
        <f>SUM(R9*0.63)</f>
        <v>278.04419999999999</v>
      </c>
    </row>
    <row r="10" spans="1:19" x14ac:dyDescent="0.2">
      <c r="A10" s="5" t="s">
        <v>9</v>
      </c>
      <c r="B10" s="3">
        <v>163732.45000000001</v>
      </c>
      <c r="D10" s="3">
        <v>4596.05</v>
      </c>
      <c r="F10" s="3">
        <v>41570.31</v>
      </c>
      <c r="H10" s="3">
        <v>-7.32</v>
      </c>
      <c r="J10" s="3">
        <v>-307.33</v>
      </c>
      <c r="L10" s="3">
        <v>-4101.93</v>
      </c>
      <c r="N10" s="8">
        <f>SUM(F11/1420189.84)</f>
        <v>-1.3273105798306511E-2</v>
      </c>
      <c r="O10" s="1" t="s">
        <v>18</v>
      </c>
      <c r="P10">
        <v>804.52</v>
      </c>
      <c r="Q10" s="3">
        <f t="shared" si="0"/>
        <v>-10.678479076853554</v>
      </c>
    </row>
    <row r="11" spans="1:19" x14ac:dyDescent="0.2">
      <c r="A11" s="1" t="s">
        <v>10</v>
      </c>
      <c r="B11" s="3">
        <f>SUM(B8+B9-B10)</f>
        <v>634067.76</v>
      </c>
      <c r="D11" s="3">
        <f>SUM(D8+D9-D10)</f>
        <v>513978.63</v>
      </c>
      <c r="F11" s="3">
        <f>SUM(F8+F9-F10)</f>
        <v>-18850.329999999998</v>
      </c>
      <c r="H11" s="3">
        <f>SUM(H8+H9-H10)</f>
        <v>160861.35999999999</v>
      </c>
      <c r="J11" s="3">
        <f>SUM(J8+J9-J10)</f>
        <v>130132.42</v>
      </c>
      <c r="L11" s="3">
        <f>SUM(L8+L9-L10)</f>
        <v>5068.5300000000007</v>
      </c>
      <c r="N11" s="8">
        <f>SUM(H11/1420189.84)</f>
        <v>0.11326750513860878</v>
      </c>
      <c r="O11" s="1" t="s">
        <v>19</v>
      </c>
      <c r="P11">
        <v>804.52</v>
      </c>
      <c r="Q11" s="3">
        <f t="shared" si="0"/>
        <v>91.12597323411353</v>
      </c>
    </row>
    <row r="12" spans="1:19" x14ac:dyDescent="0.2">
      <c r="A12" s="4">
        <v>39326</v>
      </c>
      <c r="L12" s="3" t="s">
        <v>11</v>
      </c>
      <c r="N12" s="8">
        <f>SUM(J11/1420189.84)</f>
        <v>9.1630299228165152E-2</v>
      </c>
      <c r="O12" s="1" t="s">
        <v>20</v>
      </c>
      <c r="P12">
        <v>804.52</v>
      </c>
      <c r="Q12" s="3">
        <f t="shared" si="0"/>
        <v>73.718408335043421</v>
      </c>
      <c r="R12">
        <v>441.34</v>
      </c>
      <c r="S12" s="3">
        <f>SUM(R12*0.03)</f>
        <v>13.240199999999998</v>
      </c>
    </row>
    <row r="13" spans="1:19" x14ac:dyDescent="0.2">
      <c r="A13" s="1" t="s">
        <v>7</v>
      </c>
      <c r="B13" s="3">
        <v>634067.76</v>
      </c>
      <c r="D13" s="3">
        <v>513978.63</v>
      </c>
      <c r="F13" s="3">
        <v>-18850.330000000002</v>
      </c>
      <c r="H13" s="3">
        <v>160861.35999999999</v>
      </c>
      <c r="J13" s="3">
        <v>130132.42</v>
      </c>
      <c r="L13" s="3">
        <v>5068.53</v>
      </c>
      <c r="N13" s="8">
        <f>SUM(B16/1261241.6)</f>
        <v>0.43170092074349592</v>
      </c>
      <c r="O13" s="1" t="s">
        <v>16</v>
      </c>
      <c r="P13">
        <v>728.89</v>
      </c>
      <c r="Q13" s="3">
        <f t="shared" si="0"/>
        <v>314.66248412072673</v>
      </c>
      <c r="R13">
        <v>448.66</v>
      </c>
      <c r="S13" s="3">
        <f>SUM(R13*0.34)</f>
        <v>152.54440000000002</v>
      </c>
    </row>
    <row r="14" spans="1:19" x14ac:dyDescent="0.2">
      <c r="A14" s="5" t="s">
        <v>8</v>
      </c>
      <c r="B14" s="3">
        <v>108847.9</v>
      </c>
      <c r="D14" s="3">
        <v>3551.04</v>
      </c>
      <c r="F14" s="3">
        <v>11577.84</v>
      </c>
      <c r="H14" s="3">
        <v>426.18</v>
      </c>
      <c r="J14" s="3">
        <v>1761.42</v>
      </c>
      <c r="L14" s="3">
        <v>9223.59</v>
      </c>
      <c r="N14" s="8">
        <f>SUM(D16/1261241.6)</f>
        <v>0.38730242484865701</v>
      </c>
      <c r="O14" s="1" t="s">
        <v>17</v>
      </c>
      <c r="P14">
        <v>728.89</v>
      </c>
      <c r="Q14" s="3">
        <f t="shared" si="0"/>
        <v>282.30086444793761</v>
      </c>
      <c r="R14">
        <v>448.66</v>
      </c>
      <c r="S14" s="3">
        <f>SUM(R14*0.63)</f>
        <v>282.6558</v>
      </c>
    </row>
    <row r="15" spans="1:19" x14ac:dyDescent="0.2">
      <c r="A15" s="5" t="s">
        <v>9</v>
      </c>
      <c r="B15" s="3">
        <v>198436.5</v>
      </c>
      <c r="D15" s="3">
        <v>29047.74</v>
      </c>
      <c r="F15" s="3">
        <v>56534.58</v>
      </c>
      <c r="H15" s="3">
        <v>213.09</v>
      </c>
      <c r="J15" s="3">
        <v>880.71</v>
      </c>
      <c r="L15" s="3">
        <v>24249.360000000001</v>
      </c>
      <c r="N15" s="8">
        <f>SUM(F16/1261241.6)</f>
        <v>-5.0590679850712188E-2</v>
      </c>
      <c r="O15" s="1" t="s">
        <v>18</v>
      </c>
      <c r="P15">
        <v>728.89</v>
      </c>
      <c r="Q15" s="3">
        <f t="shared" si="0"/>
        <v>-36.875040636385606</v>
      </c>
    </row>
    <row r="16" spans="1:19" x14ac:dyDescent="0.2">
      <c r="A16" s="1" t="s">
        <v>10</v>
      </c>
      <c r="B16" s="3">
        <f>SUM(B13+B14-B15)</f>
        <v>544479.16</v>
      </c>
      <c r="D16" s="3">
        <f>SUM(D13+D14-D15)</f>
        <v>488481.93</v>
      </c>
      <c r="F16" s="3">
        <f>SUM(F13+F14-F15)</f>
        <v>-63807.070000000007</v>
      </c>
      <c r="H16" s="3">
        <f>SUM(H13+H14-H15)</f>
        <v>161074.44999999998</v>
      </c>
      <c r="J16" s="3">
        <f>SUM(J13+J14-J15)</f>
        <v>131013.12999999999</v>
      </c>
      <c r="L16" s="3">
        <f>SUM(L13+L14-L15)</f>
        <v>-9957.2400000000016</v>
      </c>
      <c r="N16" s="8">
        <f>SUM(H16/1261241.6)</f>
        <v>0.12771101904662832</v>
      </c>
      <c r="O16" s="1" t="s">
        <v>19</v>
      </c>
      <c r="P16">
        <v>728.89</v>
      </c>
      <c r="Q16" s="3">
        <f t="shared" si="0"/>
        <v>93.087284672896914</v>
      </c>
    </row>
    <row r="17" spans="1:19" x14ac:dyDescent="0.2">
      <c r="A17" s="4">
        <v>39356</v>
      </c>
      <c r="D17" s="3" t="s">
        <v>11</v>
      </c>
      <c r="N17" s="8">
        <f>SUM(J16/1261241.6)</f>
        <v>0.10387631521193083</v>
      </c>
      <c r="O17" s="1" t="s">
        <v>20</v>
      </c>
      <c r="P17">
        <v>728.89</v>
      </c>
      <c r="Q17" s="3">
        <f t="shared" si="0"/>
        <v>75.714407394824264</v>
      </c>
      <c r="R17">
        <v>448.66</v>
      </c>
      <c r="S17" s="3">
        <f>SUM(R17*0.03)</f>
        <v>13.4598</v>
      </c>
    </row>
    <row r="18" spans="1:19" x14ac:dyDescent="0.2">
      <c r="A18" s="1" t="s">
        <v>7</v>
      </c>
      <c r="B18" s="3">
        <v>544479.16</v>
      </c>
      <c r="D18" s="3">
        <v>488481.93</v>
      </c>
      <c r="F18" s="3">
        <v>-63807.07</v>
      </c>
      <c r="H18" s="3">
        <v>161074.45000000001</v>
      </c>
      <c r="J18" s="3">
        <v>131013.13</v>
      </c>
      <c r="L18" s="3">
        <v>-9957.24</v>
      </c>
      <c r="N18" s="8">
        <f>SUM(B21/1247103.62)</f>
        <v>0.42422499743846465</v>
      </c>
      <c r="O18" s="1" t="s">
        <v>16</v>
      </c>
      <c r="P18">
        <v>659.15</v>
      </c>
      <c r="Q18" s="3">
        <f t="shared" si="0"/>
        <v>279.62790706156397</v>
      </c>
      <c r="R18">
        <v>316.62</v>
      </c>
      <c r="S18" s="3">
        <f>SUM(R18*0.34)</f>
        <v>107.6508</v>
      </c>
    </row>
    <row r="19" spans="1:19" x14ac:dyDescent="0.2">
      <c r="A19" s="5" t="s">
        <v>8</v>
      </c>
      <c r="B19" s="3">
        <v>138533.04999999999</v>
      </c>
      <c r="D19" s="3">
        <v>7999.93</v>
      </c>
      <c r="F19" s="3">
        <v>14531.23</v>
      </c>
      <c r="H19" s="3">
        <v>960.25</v>
      </c>
      <c r="J19" s="3">
        <v>3968</v>
      </c>
      <c r="L19" s="3">
        <v>20985.360000000001</v>
      </c>
      <c r="N19" s="8">
        <f>SUM(D21/1247103.62)</f>
        <v>0.39490425823637648</v>
      </c>
      <c r="O19" s="1" t="s">
        <v>17</v>
      </c>
      <c r="P19">
        <v>659.15</v>
      </c>
      <c r="Q19" s="3">
        <f t="shared" si="0"/>
        <v>260.30114181650754</v>
      </c>
      <c r="R19">
        <v>316.62</v>
      </c>
      <c r="S19" s="3">
        <f>SUM(R19*0.63)</f>
        <v>199.47059999999999</v>
      </c>
    </row>
    <row r="20" spans="1:19" x14ac:dyDescent="0.2">
      <c r="A20" s="5" t="s">
        <v>9</v>
      </c>
      <c r="B20" s="3">
        <v>153959.67999999999</v>
      </c>
      <c r="D20" s="3">
        <v>3995.33</v>
      </c>
      <c r="F20" s="3">
        <v>19714.169999999998</v>
      </c>
      <c r="H20" s="3">
        <v>479.56</v>
      </c>
      <c r="J20" s="3">
        <v>1981.7</v>
      </c>
      <c r="L20" s="3">
        <v>8852.1200000000008</v>
      </c>
      <c r="N20" s="8">
        <f>SUM(F21/1247103.62)</f>
        <v>-5.5320190635001112E-2</v>
      </c>
      <c r="O20" s="1" t="s">
        <v>18</v>
      </c>
      <c r="P20">
        <v>659.15</v>
      </c>
      <c r="Q20" s="3">
        <f t="shared" si="0"/>
        <v>-36.464303657060981</v>
      </c>
    </row>
    <row r="21" spans="1:19" x14ac:dyDescent="0.2">
      <c r="A21" s="1" t="s">
        <v>10</v>
      </c>
      <c r="B21" s="3">
        <f>SUM(B18+B19-B20)</f>
        <v>529052.53</v>
      </c>
      <c r="D21" s="3">
        <f>SUM(D18+D19-D20)</f>
        <v>492486.52999999997</v>
      </c>
      <c r="F21" s="3">
        <f>SUM(F18+F19-F20)</f>
        <v>-68990.009999999995</v>
      </c>
      <c r="H21" s="3">
        <f>SUM(H18+H19-H20)</f>
        <v>161555.14000000001</v>
      </c>
      <c r="J21" s="3">
        <f>SUM(J18+J19-J20)</f>
        <v>132999.43</v>
      </c>
      <c r="L21" s="3">
        <f>SUM(L18+L19-L20)</f>
        <v>2176</v>
      </c>
      <c r="N21" s="8">
        <f>SUM(H21/1247103.62)</f>
        <v>0.12954427956836498</v>
      </c>
      <c r="O21" s="1" t="s">
        <v>19</v>
      </c>
      <c r="P21">
        <v>659.15</v>
      </c>
      <c r="Q21" s="3">
        <f t="shared" si="0"/>
        <v>85.389111877487778</v>
      </c>
    </row>
    <row r="22" spans="1:19" x14ac:dyDescent="0.2">
      <c r="A22" s="4">
        <v>39387</v>
      </c>
      <c r="N22" s="8">
        <f>SUM(J21/1247103.62)</f>
        <v>0.10664665539179494</v>
      </c>
      <c r="O22" s="1" t="s">
        <v>20</v>
      </c>
      <c r="P22">
        <v>659.15</v>
      </c>
      <c r="Q22" s="3">
        <f t="shared" si="0"/>
        <v>70.296142901501625</v>
      </c>
      <c r="R22">
        <v>316.62</v>
      </c>
      <c r="S22" s="3">
        <f>SUM(R22*0.03)</f>
        <v>9.4985999999999997</v>
      </c>
    </row>
    <row r="23" spans="1:19" x14ac:dyDescent="0.2">
      <c r="A23" s="1" t="s">
        <v>7</v>
      </c>
      <c r="B23" s="3">
        <v>529052.53</v>
      </c>
      <c r="D23" s="3">
        <v>492486.53</v>
      </c>
      <c r="F23" s="3">
        <v>-68990.009999999995</v>
      </c>
      <c r="H23" s="3">
        <v>161555.14000000001</v>
      </c>
      <c r="J23" s="3">
        <v>132999.43</v>
      </c>
      <c r="L23" s="3">
        <v>2176</v>
      </c>
      <c r="N23" s="8">
        <f>SUM(B26/1398125.99)</f>
        <v>0.47153361336198313</v>
      </c>
      <c r="O23" s="1" t="s">
        <v>16</v>
      </c>
      <c r="P23">
        <v>720.84</v>
      </c>
      <c r="Q23" s="3">
        <f t="shared" si="0"/>
        <v>339.90028985585195</v>
      </c>
      <c r="R23">
        <v>2840.16</v>
      </c>
      <c r="S23" s="3">
        <f>SUM(R23*0.34)</f>
        <v>965.65440000000001</v>
      </c>
    </row>
    <row r="24" spans="1:19" x14ac:dyDescent="0.2">
      <c r="A24" s="5" t="s">
        <v>8</v>
      </c>
      <c r="B24" s="3">
        <v>354743.92</v>
      </c>
      <c r="D24" s="3">
        <v>104146.11</v>
      </c>
      <c r="F24" s="3">
        <v>70949.119999999995</v>
      </c>
      <c r="H24" s="3">
        <v>12492.51</v>
      </c>
      <c r="J24" s="3">
        <v>51682.12</v>
      </c>
      <c r="L24" s="3">
        <v>9858.65</v>
      </c>
      <c r="N24" s="8">
        <f>SUM(D26/1398125.99)</f>
        <v>0.32623574932613908</v>
      </c>
      <c r="O24" s="1" t="s">
        <v>17</v>
      </c>
      <c r="P24">
        <v>720.84</v>
      </c>
      <c r="Q24" s="3">
        <f t="shared" si="0"/>
        <v>235.16377754425412</v>
      </c>
      <c r="R24">
        <v>2840.16</v>
      </c>
      <c r="S24" s="3">
        <f>SUM(R24*0.63)</f>
        <v>1789.3008</v>
      </c>
    </row>
    <row r="25" spans="1:19" x14ac:dyDescent="0.2">
      <c r="A25" s="5" t="s">
        <v>9</v>
      </c>
      <c r="B25" s="3">
        <v>224533.05</v>
      </c>
      <c r="D25" s="3">
        <v>140513.96</v>
      </c>
      <c r="F25" s="3">
        <v>58685.65</v>
      </c>
      <c r="H25" s="3">
        <v>0</v>
      </c>
      <c r="J25" s="3">
        <v>19258.75</v>
      </c>
      <c r="L25" s="3">
        <v>19272.61</v>
      </c>
      <c r="N25" s="8">
        <f>SUM(F26/1398125.99)</f>
        <v>-4.0573267649505605E-2</v>
      </c>
      <c r="O25" s="1" t="s">
        <v>18</v>
      </c>
      <c r="P25">
        <v>720.84</v>
      </c>
      <c r="Q25" s="3">
        <f t="shared" si="0"/>
        <v>-29.246834252469622</v>
      </c>
    </row>
    <row r="26" spans="1:19" x14ac:dyDescent="0.2">
      <c r="A26" s="1" t="s">
        <v>10</v>
      </c>
      <c r="B26" s="3">
        <f>SUM(B23+B24-B25)</f>
        <v>659263.39999999991</v>
      </c>
      <c r="D26" s="3">
        <f>SUM(D23+D24-D25)</f>
        <v>456118.68000000005</v>
      </c>
      <c r="F26" s="3">
        <f>SUM(F23+F24-F25)</f>
        <v>-56726.54</v>
      </c>
      <c r="H26" s="3">
        <f>SUM(H23+H24-H25)</f>
        <v>174047.65000000002</v>
      </c>
      <c r="J26" s="3">
        <f>SUM(J23+J24-J25)</f>
        <v>165422.79999999999</v>
      </c>
      <c r="L26" s="3">
        <f>SUM(L23+L24-L25)</f>
        <v>-7237.9600000000009</v>
      </c>
      <c r="N26" s="8">
        <f>SUM(H26/1398125.99)</f>
        <v>0.12448638480713746</v>
      </c>
      <c r="O26" s="1" t="s">
        <v>19</v>
      </c>
      <c r="P26">
        <v>720.84</v>
      </c>
      <c r="Q26" s="3">
        <f t="shared" si="0"/>
        <v>89.734765624376976</v>
      </c>
    </row>
    <row r="27" spans="1:19" x14ac:dyDescent="0.2">
      <c r="A27" s="4">
        <v>39417</v>
      </c>
      <c r="D27" s="3" t="s">
        <v>11</v>
      </c>
      <c r="N27" s="8">
        <f>SUM(J26/1398125.99)</f>
        <v>0.11831752015424589</v>
      </c>
      <c r="O27" s="1" t="s">
        <v>20</v>
      </c>
      <c r="P27">
        <v>720.84</v>
      </c>
      <c r="Q27" s="3">
        <f t="shared" si="0"/>
        <v>85.288001227986612</v>
      </c>
      <c r="R27">
        <v>2840.16</v>
      </c>
      <c r="S27" s="3">
        <f>SUM(R27*0.03)</f>
        <v>85.204799999999992</v>
      </c>
    </row>
    <row r="28" spans="1:19" x14ac:dyDescent="0.2">
      <c r="A28" s="1" t="s">
        <v>7</v>
      </c>
      <c r="B28" s="3">
        <v>659263.4</v>
      </c>
      <c r="D28" s="3">
        <v>456118.68</v>
      </c>
      <c r="F28" s="3">
        <v>-56726.54</v>
      </c>
      <c r="H28" s="3">
        <v>174047.65</v>
      </c>
      <c r="J28" s="3">
        <v>165422.79999999999</v>
      </c>
      <c r="L28" s="3">
        <v>-7237.96</v>
      </c>
      <c r="N28" s="8">
        <f>SUM(B31/1399818.95)</f>
        <v>0.47047350659169174</v>
      </c>
      <c r="O28" s="1" t="s">
        <v>16</v>
      </c>
      <c r="P28">
        <v>868.49</v>
      </c>
      <c r="Q28" s="3">
        <f t="shared" si="0"/>
        <v>408.60153573981836</v>
      </c>
      <c r="R28">
        <v>4472.4799999999996</v>
      </c>
      <c r="S28" s="3">
        <f>SUM(R28*0.34)</f>
        <v>1520.6432</v>
      </c>
    </row>
    <row r="29" spans="1:19" x14ac:dyDescent="0.2">
      <c r="A29" s="5" t="s">
        <v>8</v>
      </c>
      <c r="B29" s="3">
        <v>174964.52</v>
      </c>
      <c r="D29" s="3">
        <v>32911.589999999997</v>
      </c>
      <c r="F29" s="3">
        <v>27412.9</v>
      </c>
      <c r="H29" s="3">
        <v>3933.22</v>
      </c>
      <c r="J29" s="3">
        <v>16279.31</v>
      </c>
      <c r="L29" s="3">
        <v>14612.86</v>
      </c>
      <c r="N29" s="8">
        <f>SUM(D31/1399818.95)</f>
        <v>0.32384801620238107</v>
      </c>
      <c r="O29" s="1" t="s">
        <v>17</v>
      </c>
      <c r="P29">
        <v>868.49</v>
      </c>
      <c r="Q29" s="3">
        <f t="shared" si="0"/>
        <v>281.25876359160594</v>
      </c>
      <c r="R29">
        <v>4472.4799999999996</v>
      </c>
      <c r="S29" s="3">
        <f>SUM(R29*0.63)</f>
        <v>2817.6623999999997</v>
      </c>
    </row>
    <row r="30" spans="1:19" x14ac:dyDescent="0.2">
      <c r="A30" s="5" t="s">
        <v>9</v>
      </c>
      <c r="B30" s="3">
        <v>175650.19</v>
      </c>
      <c r="D30" s="3">
        <v>35701.68</v>
      </c>
      <c r="F30" s="3">
        <v>38258.36</v>
      </c>
      <c r="H30" s="3">
        <v>4198.3500000000004</v>
      </c>
      <c r="J30" s="3">
        <v>0</v>
      </c>
      <c r="L30" s="3">
        <v>13140.05</v>
      </c>
      <c r="N30" s="8">
        <f>SUM(F31/1399818.95)</f>
        <v>-4.8271956884138482E-2</v>
      </c>
      <c r="O30" s="1" t="s">
        <v>18</v>
      </c>
      <c r="P30">
        <v>868.49</v>
      </c>
      <c r="Q30" s="3">
        <f t="shared" si="0"/>
        <v>-41.923711834305429</v>
      </c>
    </row>
    <row r="31" spans="1:19" x14ac:dyDescent="0.2">
      <c r="A31" s="1" t="s">
        <v>10</v>
      </c>
      <c r="B31" s="3">
        <f>SUM(B28+B29-B30)</f>
        <v>658577.73</v>
      </c>
      <c r="D31" s="3">
        <f>SUM(D28+D29-D30)</f>
        <v>453328.59</v>
      </c>
      <c r="F31" s="3">
        <f>SUM(F28+F29-F30)</f>
        <v>-67572</v>
      </c>
      <c r="H31" s="3">
        <f>SUM(H28+H29-H30)</f>
        <v>173782.52</v>
      </c>
      <c r="J31" s="3">
        <f>SUM(J28+J29-J30)</f>
        <v>181702.11</v>
      </c>
      <c r="L31" s="3">
        <f>SUM(L28+L29-L30)</f>
        <v>-5765.1499999999987</v>
      </c>
      <c r="N31" s="8">
        <f>SUM(H31/1399818.95)</f>
        <v>0.12414642622176246</v>
      </c>
      <c r="O31" s="1" t="s">
        <v>19</v>
      </c>
      <c r="P31">
        <v>868.49</v>
      </c>
      <c r="Q31" s="3">
        <f t="shared" si="0"/>
        <v>107.81992970933848</v>
      </c>
    </row>
    <row r="32" spans="1:19" x14ac:dyDescent="0.2">
      <c r="A32" s="4">
        <v>39448</v>
      </c>
      <c r="N32" s="8">
        <f>SUM(J31/1399818.95)</f>
        <v>0.12980400786830326</v>
      </c>
      <c r="O32" s="1" t="s">
        <v>20</v>
      </c>
      <c r="P32">
        <v>868.49</v>
      </c>
      <c r="Q32" s="3">
        <f t="shared" si="0"/>
        <v>112.73348279354271</v>
      </c>
      <c r="R32">
        <v>4472.4799999999996</v>
      </c>
      <c r="S32" s="3">
        <f>SUM(R32*0.03)</f>
        <v>134.17439999999999</v>
      </c>
    </row>
    <row r="33" spans="1:19" x14ac:dyDescent="0.2">
      <c r="A33" s="1" t="s">
        <v>7</v>
      </c>
      <c r="B33" s="3">
        <v>658577.73</v>
      </c>
      <c r="D33" s="3">
        <v>453328.59</v>
      </c>
      <c r="F33" s="3">
        <v>-67572</v>
      </c>
      <c r="H33" s="3">
        <v>173782.52</v>
      </c>
      <c r="J33" s="3">
        <v>181702.11</v>
      </c>
      <c r="L33" s="3">
        <v>-5765.15</v>
      </c>
      <c r="N33" s="8">
        <f>SUM(B36/1304816.81)</f>
        <v>0.45346513431260893</v>
      </c>
      <c r="O33" s="1" t="s">
        <v>16</v>
      </c>
      <c r="P33">
        <v>782.11</v>
      </c>
      <c r="Q33" s="3">
        <f t="shared" si="0"/>
        <v>354.65961619723458</v>
      </c>
      <c r="R33">
        <v>2721.82</v>
      </c>
      <c r="S33" s="3">
        <f>SUM(R33*0.34)</f>
        <v>925.41880000000015</v>
      </c>
    </row>
    <row r="34" spans="1:19" x14ac:dyDescent="0.2">
      <c r="A34" s="5" t="s">
        <v>8</v>
      </c>
      <c r="B34" s="3">
        <v>87473.09</v>
      </c>
      <c r="D34" s="3">
        <v>302.08</v>
      </c>
      <c r="F34" s="3">
        <v>9212.42</v>
      </c>
      <c r="H34" s="3">
        <v>36.29</v>
      </c>
      <c r="J34" s="3">
        <v>149.78</v>
      </c>
      <c r="L34" s="3">
        <v>20781.66</v>
      </c>
      <c r="N34" s="8">
        <f>SUM(D36/1304816.81)</f>
        <v>0.34423637598598994</v>
      </c>
      <c r="O34" s="1" t="s">
        <v>17</v>
      </c>
      <c r="P34">
        <v>782.11</v>
      </c>
      <c r="Q34" s="3">
        <f t="shared" si="0"/>
        <v>269.2307120224026</v>
      </c>
      <c r="R34">
        <v>2721.82</v>
      </c>
      <c r="S34" s="3">
        <f>SUM(R34*0.63)</f>
        <v>1714.7466000000002</v>
      </c>
    </row>
    <row r="35" spans="1:19" x14ac:dyDescent="0.2">
      <c r="A35" s="5" t="s">
        <v>9</v>
      </c>
      <c r="B35" s="3">
        <v>154361.89000000001</v>
      </c>
      <c r="D35" s="3">
        <v>4465.26</v>
      </c>
      <c r="F35" s="3">
        <v>33348.65</v>
      </c>
      <c r="H35" s="3">
        <v>0</v>
      </c>
      <c r="J35" s="3">
        <v>0</v>
      </c>
      <c r="L35" s="3">
        <v>11704.91</v>
      </c>
      <c r="N35" s="8">
        <f>SUM(F36/1304816.81)</f>
        <v>-7.0284371949499949E-2</v>
      </c>
      <c r="O35" s="1" t="s">
        <v>18</v>
      </c>
      <c r="P35">
        <v>782.11</v>
      </c>
      <c r="Q35" s="3">
        <f t="shared" si="0"/>
        <v>-54.970110145423405</v>
      </c>
    </row>
    <row r="36" spans="1:19" x14ac:dyDescent="0.2">
      <c r="A36" s="1" t="s">
        <v>10</v>
      </c>
      <c r="B36" s="3">
        <f>SUM(B33+B34-B35)</f>
        <v>591688.92999999993</v>
      </c>
      <c r="D36" s="3">
        <f>SUM(D33+D34-D35)</f>
        <v>449165.41000000003</v>
      </c>
      <c r="F36" s="3">
        <f>SUM(F33+F34-F35)</f>
        <v>-91708.23000000001</v>
      </c>
      <c r="H36" s="3">
        <f>SUM(H33+H34-H35)</f>
        <v>173818.81</v>
      </c>
      <c r="J36" s="3">
        <f>SUM(J33+J34-J35)</f>
        <v>181851.88999999998</v>
      </c>
      <c r="L36" s="3">
        <f>SUM(L33+L34-L35)</f>
        <v>3311.6000000000004</v>
      </c>
      <c r="N36" s="8">
        <f>SUM(H36/1304816.81)</f>
        <v>0.13321319028684186</v>
      </c>
      <c r="O36" s="1" t="s">
        <v>19</v>
      </c>
      <c r="P36">
        <v>782.11</v>
      </c>
      <c r="Q36" s="3">
        <f t="shared" si="0"/>
        <v>104.18736825524189</v>
      </c>
    </row>
    <row r="37" spans="1:19" x14ac:dyDescent="0.2">
      <c r="A37" s="4">
        <v>39479</v>
      </c>
      <c r="H37" s="3" t="s">
        <v>11</v>
      </c>
      <c r="N37" s="8">
        <f>SUM(J36/1304816.81)</f>
        <v>0.13936967136405912</v>
      </c>
      <c r="O37" s="1" t="s">
        <v>20</v>
      </c>
      <c r="P37">
        <v>782.11</v>
      </c>
      <c r="Q37" s="3">
        <f t="shared" si="0"/>
        <v>109.00241367054427</v>
      </c>
      <c r="R37">
        <v>2721.82</v>
      </c>
      <c r="S37" s="3">
        <f>SUM(R37*0.03)</f>
        <v>81.654600000000002</v>
      </c>
    </row>
    <row r="38" spans="1:19" x14ac:dyDescent="0.2">
      <c r="A38" s="1" t="s">
        <v>7</v>
      </c>
      <c r="B38" s="3">
        <v>591688.93000000005</v>
      </c>
      <c r="D38" s="3">
        <v>449165.41</v>
      </c>
      <c r="F38" s="3">
        <v>-91708.23</v>
      </c>
      <c r="H38" s="3">
        <v>173818.81</v>
      </c>
      <c r="J38" s="3">
        <v>181851.89</v>
      </c>
      <c r="L38" s="3">
        <v>3311.6</v>
      </c>
      <c r="N38" s="8">
        <f>SUM(B41/1326277.88)</f>
        <v>0.42200801841013896</v>
      </c>
      <c r="O38" s="1" t="s">
        <v>16</v>
      </c>
      <c r="P38">
        <v>510.95</v>
      </c>
      <c r="Q38" s="3">
        <f t="shared" si="0"/>
        <v>215.62499700666049</v>
      </c>
      <c r="R38">
        <v>448.66</v>
      </c>
      <c r="S38" s="3">
        <f>SUM(R38*0.34)</f>
        <v>152.54440000000002</v>
      </c>
    </row>
    <row r="39" spans="1:19" x14ac:dyDescent="0.2">
      <c r="A39" s="5" t="s">
        <v>8</v>
      </c>
      <c r="B39" s="3">
        <v>150356.81</v>
      </c>
      <c r="D39" s="3">
        <v>10997.19</v>
      </c>
      <c r="F39" s="3">
        <v>73915.63</v>
      </c>
      <c r="H39" s="3">
        <v>1320.16</v>
      </c>
      <c r="J39" s="3">
        <v>4841.53</v>
      </c>
      <c r="L39" s="3">
        <v>15736.2</v>
      </c>
      <c r="N39" s="8">
        <f>SUM(D41/1326277.88)</f>
        <v>0.34526972582849685</v>
      </c>
      <c r="O39" s="1" t="s">
        <v>17</v>
      </c>
      <c r="P39">
        <v>510.95</v>
      </c>
      <c r="Q39" s="3">
        <f t="shared" si="0"/>
        <v>176.41556641207046</v>
      </c>
      <c r="R39">
        <v>448.66</v>
      </c>
      <c r="S39" s="3">
        <f>SUM(R39*0.63)</f>
        <v>282.6558</v>
      </c>
    </row>
    <row r="40" spans="1:19" x14ac:dyDescent="0.2">
      <c r="A40" s="5" t="s">
        <v>9</v>
      </c>
      <c r="B40" s="3">
        <v>182345.84</v>
      </c>
      <c r="D40" s="3">
        <v>2239</v>
      </c>
      <c r="F40" s="3">
        <v>35385.410000000003</v>
      </c>
      <c r="H40" s="3">
        <v>0</v>
      </c>
      <c r="J40" s="3">
        <v>0</v>
      </c>
      <c r="L40" s="3">
        <v>13711</v>
      </c>
      <c r="N40" s="8">
        <f>SUM(F41/1326277.88)</f>
        <v>-4.0095677385496319E-2</v>
      </c>
      <c r="O40" s="1" t="s">
        <v>18</v>
      </c>
      <c r="P40">
        <v>510.95</v>
      </c>
      <c r="Q40" s="3">
        <f t="shared" si="0"/>
        <v>-20.486886360119342</v>
      </c>
    </row>
    <row r="41" spans="1:19" x14ac:dyDescent="0.2">
      <c r="A41" s="1" t="s">
        <v>10</v>
      </c>
      <c r="B41" s="3">
        <f>SUM(B38+B39-B40)</f>
        <v>559699.9</v>
      </c>
      <c r="D41" s="3">
        <f>SUM(D38+D39-D40)</f>
        <v>457923.6</v>
      </c>
      <c r="F41" s="3">
        <f>SUM(F38+F39-F40)</f>
        <v>-53178.009999999995</v>
      </c>
      <c r="H41" s="3">
        <f>SUM(H38+H39-H40)</f>
        <v>175138.97</v>
      </c>
      <c r="J41" s="3">
        <f>SUM(J38+J39-J40)</f>
        <v>186693.42</v>
      </c>
      <c r="L41" s="3">
        <f>SUM(L38+L39-L40)</f>
        <v>5336.7999999999993</v>
      </c>
      <c r="N41" s="8">
        <f>SUM(H41/1326277.88)</f>
        <v>0.1320529978227489</v>
      </c>
      <c r="O41" s="1" t="s">
        <v>19</v>
      </c>
      <c r="P41">
        <v>510.95</v>
      </c>
      <c r="Q41" s="3">
        <f t="shared" si="0"/>
        <v>67.472479237533548</v>
      </c>
    </row>
    <row r="42" spans="1:19" x14ac:dyDescent="0.2">
      <c r="A42" s="4">
        <v>39508</v>
      </c>
      <c r="N42" s="8">
        <f>SUM(J41/1326277.88)</f>
        <v>0.14076493532411175</v>
      </c>
      <c r="O42" s="1" t="s">
        <v>20</v>
      </c>
      <c r="P42">
        <v>510.95</v>
      </c>
      <c r="Q42" s="3">
        <f t="shared" si="0"/>
        <v>71.923843703854899</v>
      </c>
      <c r="R42">
        <v>448.66</v>
      </c>
      <c r="S42" s="3">
        <f>SUM(R42*0.03)</f>
        <v>13.4598</v>
      </c>
    </row>
    <row r="43" spans="1:19" x14ac:dyDescent="0.2">
      <c r="A43" s="1" t="s">
        <v>7</v>
      </c>
      <c r="B43" s="3">
        <v>559699.9</v>
      </c>
      <c r="D43" s="3">
        <v>457923.6</v>
      </c>
      <c r="F43" s="3">
        <v>-53178.01</v>
      </c>
      <c r="H43" s="3">
        <v>175138.97</v>
      </c>
      <c r="J43" s="3">
        <v>186693.42</v>
      </c>
      <c r="L43" s="3">
        <v>5336.8</v>
      </c>
      <c r="N43" s="8">
        <f>SUM(B46/1180513.56)</f>
        <v>0.43497844277197462</v>
      </c>
      <c r="O43" s="1" t="s">
        <v>16</v>
      </c>
      <c r="P43">
        <v>550.21</v>
      </c>
      <c r="Q43" s="3">
        <f t="shared" si="0"/>
        <v>239.32948899756818</v>
      </c>
      <c r="R43">
        <v>443.78</v>
      </c>
      <c r="S43" s="3">
        <f>SUM(R43*0.34)</f>
        <v>150.8852</v>
      </c>
    </row>
    <row r="44" spans="1:19" x14ac:dyDescent="0.2">
      <c r="A44" s="5" t="s">
        <v>8</v>
      </c>
      <c r="B44" s="3">
        <v>114663.39</v>
      </c>
      <c r="D44" s="3">
        <v>1327.78</v>
      </c>
      <c r="F44" s="3">
        <v>9059.24</v>
      </c>
      <c r="H44" s="3">
        <v>159.34</v>
      </c>
      <c r="J44" s="3">
        <v>590.83000000000004</v>
      </c>
      <c r="L44" s="3">
        <v>13752.43</v>
      </c>
      <c r="N44" s="8">
        <f>SUM(D46/1180513.56)</f>
        <v>0.33109590880091205</v>
      </c>
      <c r="O44" s="1" t="s">
        <v>17</v>
      </c>
      <c r="P44">
        <v>550.21</v>
      </c>
      <c r="Q44" s="3">
        <f t="shared" si="0"/>
        <v>182.17227998134985</v>
      </c>
      <c r="R44">
        <v>443.78</v>
      </c>
      <c r="S44" s="3">
        <f>SUM(R44*0.63)</f>
        <v>279.58139999999997</v>
      </c>
    </row>
    <row r="45" spans="1:19" x14ac:dyDescent="0.2">
      <c r="A45" s="5" t="s">
        <v>9</v>
      </c>
      <c r="B45" s="3">
        <v>160865.34</v>
      </c>
      <c r="D45" s="3">
        <v>68388.17</v>
      </c>
      <c r="F45" s="3">
        <v>42311.39</v>
      </c>
      <c r="H45" s="3">
        <v>0</v>
      </c>
      <c r="J45" s="3">
        <v>0</v>
      </c>
      <c r="L45" s="3">
        <v>11702.35</v>
      </c>
      <c r="N45" s="8">
        <f>SUM(F46/1180513.56)</f>
        <v>-7.3214034068359191E-2</v>
      </c>
      <c r="O45" s="1" t="s">
        <v>18</v>
      </c>
      <c r="P45">
        <v>550.21</v>
      </c>
      <c r="Q45" s="3">
        <f t="shared" si="0"/>
        <v>-40.283093684751911</v>
      </c>
    </row>
    <row r="46" spans="1:19" x14ac:dyDescent="0.2">
      <c r="A46" s="1" t="s">
        <v>10</v>
      </c>
      <c r="B46" s="3">
        <f>SUM(B43+B44-B45)</f>
        <v>513497.95000000007</v>
      </c>
      <c r="D46" s="3">
        <f>SUM(D43+D44-D45)</f>
        <v>390863.21</v>
      </c>
      <c r="F46" s="3">
        <f>SUM(F43+F44-F45)</f>
        <v>-86430.16</v>
      </c>
      <c r="H46" s="3">
        <f>SUM(H43+H44-H45)</f>
        <v>175298.31</v>
      </c>
      <c r="J46" s="3">
        <f>SUM(J43+J44-J45)</f>
        <v>187284.25</v>
      </c>
      <c r="L46" s="3">
        <f>SUM(L43+L44-L45)</f>
        <v>7386.8799999999992</v>
      </c>
      <c r="N46" s="8">
        <f>SUM(H46/1180513.56)</f>
        <v>0.14849326254244805</v>
      </c>
      <c r="O46" s="1" t="s">
        <v>19</v>
      </c>
      <c r="P46">
        <v>550.21</v>
      </c>
      <c r="Q46" s="3">
        <f t="shared" si="0"/>
        <v>81.70247798348035</v>
      </c>
    </row>
    <row r="47" spans="1:19" x14ac:dyDescent="0.2">
      <c r="A47" s="4">
        <v>39539</v>
      </c>
      <c r="B47" s="1" t="s">
        <v>11</v>
      </c>
      <c r="N47" s="8">
        <f>SUM(J46/1180513.56)</f>
        <v>0.1586464199530245</v>
      </c>
      <c r="O47" s="1" t="s">
        <v>20</v>
      </c>
      <c r="P47">
        <v>550.21</v>
      </c>
      <c r="Q47" s="3">
        <f t="shared" si="0"/>
        <v>87.288846722353611</v>
      </c>
      <c r="R47">
        <v>443.78</v>
      </c>
      <c r="S47" s="3">
        <f>SUM(R47*0.03)</f>
        <v>13.313399999999998</v>
      </c>
    </row>
    <row r="48" spans="1:19" x14ac:dyDescent="0.2">
      <c r="A48" s="1" t="s">
        <v>7</v>
      </c>
      <c r="B48" s="7">
        <v>513497.95</v>
      </c>
      <c r="D48" s="3">
        <v>390863.21</v>
      </c>
      <c r="F48" s="3">
        <v>-86430.16</v>
      </c>
      <c r="H48" s="3">
        <v>175298.31</v>
      </c>
      <c r="J48" s="3">
        <v>187284.25</v>
      </c>
      <c r="L48" s="3">
        <v>7386.88</v>
      </c>
      <c r="N48" s="8">
        <f>SUM(B51/1154531.02)</f>
        <v>0.41544299086914099</v>
      </c>
      <c r="O48" s="1" t="s">
        <v>16</v>
      </c>
      <c r="P48">
        <v>347.43</v>
      </c>
      <c r="Q48" s="3">
        <f t="shared" si="0"/>
        <v>144.33735831766566</v>
      </c>
      <c r="R48">
        <v>309.08999999999997</v>
      </c>
      <c r="S48" s="3">
        <f>SUM(R48*0.34)</f>
        <v>105.09059999999999</v>
      </c>
    </row>
    <row r="49" spans="1:20" x14ac:dyDescent="0.2">
      <c r="A49" s="5" t="s">
        <v>8</v>
      </c>
      <c r="B49" s="7">
        <v>121244.72</v>
      </c>
      <c r="D49" s="3">
        <v>19101.14</v>
      </c>
      <c r="F49" s="3">
        <v>19159.54</v>
      </c>
      <c r="H49" s="3">
        <v>2208.5</v>
      </c>
      <c r="J49" s="3">
        <v>8678.83</v>
      </c>
      <c r="L49" s="3">
        <v>14002.91</v>
      </c>
      <c r="N49" s="8">
        <f>SUM(D51/1154531.02)</f>
        <v>0.35339271351929552</v>
      </c>
      <c r="O49" s="1" t="s">
        <v>17</v>
      </c>
      <c r="P49">
        <v>347.43</v>
      </c>
      <c r="Q49" s="3">
        <f t="shared" si="0"/>
        <v>122.77923045800884</v>
      </c>
      <c r="R49">
        <v>309.08999999999997</v>
      </c>
      <c r="S49" s="3">
        <f>SUM(R49*0.63)</f>
        <v>194.72669999999999</v>
      </c>
    </row>
    <row r="50" spans="1:20" x14ac:dyDescent="0.2">
      <c r="A50" s="5" t="s">
        <v>9</v>
      </c>
      <c r="B50" s="3">
        <v>155100.85</v>
      </c>
      <c r="D50" s="3">
        <v>1961.5</v>
      </c>
      <c r="F50" s="3">
        <v>39312.92</v>
      </c>
      <c r="H50" s="3">
        <v>0</v>
      </c>
      <c r="J50" s="3">
        <v>0</v>
      </c>
      <c r="L50" s="3">
        <v>14006.06</v>
      </c>
      <c r="N50" s="8">
        <f>SUM(F51/1154531.02)</f>
        <v>-9.2317606156653978E-2</v>
      </c>
      <c r="O50" s="1" t="s">
        <v>18</v>
      </c>
      <c r="P50">
        <v>347.43</v>
      </c>
      <c r="Q50" s="3">
        <f t="shared" si="0"/>
        <v>-32.073905907006292</v>
      </c>
    </row>
    <row r="51" spans="1:20" x14ac:dyDescent="0.2">
      <c r="A51" s="1" t="s">
        <v>10</v>
      </c>
      <c r="B51" s="3">
        <f>SUM(B48+B49-B50)</f>
        <v>479641.82000000007</v>
      </c>
      <c r="D51" s="3">
        <f>SUM(D48+D49-D50)</f>
        <v>408002.85000000003</v>
      </c>
      <c r="F51" s="3">
        <f>SUM(F48+F49-F50)</f>
        <v>-106583.54</v>
      </c>
      <c r="H51" s="3">
        <f>SUM(H48+H49-H50)</f>
        <v>177506.81</v>
      </c>
      <c r="J51" s="3">
        <f>SUM(J48+J49-J50)</f>
        <v>195963.08</v>
      </c>
      <c r="L51" s="3">
        <f>SUM(L48+L49-L50)</f>
        <v>7383.7300000000014</v>
      </c>
      <c r="N51" s="8">
        <f>SUM(H51/1154531.02)</f>
        <v>0.15374797811842247</v>
      </c>
      <c r="O51" s="1" t="s">
        <v>19</v>
      </c>
      <c r="P51">
        <v>347.43</v>
      </c>
      <c r="Q51" s="3">
        <f t="shared" si="0"/>
        <v>53.416660037683521</v>
      </c>
    </row>
    <row r="52" spans="1:20" x14ac:dyDescent="0.2">
      <c r="A52" s="4">
        <v>39569</v>
      </c>
      <c r="D52" s="3" t="s">
        <v>11</v>
      </c>
      <c r="N52" s="8">
        <f>SUM(J51/1154531.02)</f>
        <v>0.16973392364979503</v>
      </c>
      <c r="O52" s="1" t="s">
        <v>20</v>
      </c>
      <c r="P52">
        <v>347.43</v>
      </c>
      <c r="Q52" s="3">
        <f t="shared" si="0"/>
        <v>58.970657093648292</v>
      </c>
      <c r="R52">
        <v>309.08999999999997</v>
      </c>
      <c r="S52" s="3">
        <f>SUM(R52*0.03)</f>
        <v>9.2726999999999986</v>
      </c>
    </row>
    <row r="53" spans="1:20" x14ac:dyDescent="0.2">
      <c r="A53" s="1" t="s">
        <v>7</v>
      </c>
      <c r="B53" s="3">
        <v>479641.82</v>
      </c>
      <c r="D53" s="3">
        <v>408002.85</v>
      </c>
      <c r="F53" s="3">
        <v>-106583.54</v>
      </c>
      <c r="H53" s="3">
        <v>177506.81</v>
      </c>
      <c r="J53" s="3">
        <v>195963.08</v>
      </c>
      <c r="L53" s="3">
        <v>7383.73</v>
      </c>
      <c r="N53" s="8">
        <f>SUM(B56/1482572.22)</f>
        <v>0.43292071802073828</v>
      </c>
      <c r="O53" s="1" t="s">
        <v>16</v>
      </c>
      <c r="P53">
        <v>360.26</v>
      </c>
      <c r="Q53" s="3">
        <f t="shared" si="0"/>
        <v>155.96401787415118</v>
      </c>
      <c r="R53">
        <v>2519.08</v>
      </c>
      <c r="S53" s="3">
        <f>SUM(R53*0.34)</f>
        <v>856.48720000000003</v>
      </c>
    </row>
    <row r="54" spans="1:20" x14ac:dyDescent="0.2">
      <c r="A54" s="5" t="s">
        <v>8</v>
      </c>
      <c r="B54" s="3">
        <v>325018.96000000002</v>
      </c>
      <c r="D54" s="3">
        <v>96478.51</v>
      </c>
      <c r="F54" s="3">
        <v>63765.18</v>
      </c>
      <c r="H54" s="3">
        <v>11543.68</v>
      </c>
      <c r="J54" s="3">
        <v>42573.7</v>
      </c>
      <c r="L54" s="3">
        <v>11019.95</v>
      </c>
      <c r="N54" s="8">
        <f>SUM(D56/1482572.22)</f>
        <v>0.33879766747551765</v>
      </c>
      <c r="O54" s="1" t="s">
        <v>17</v>
      </c>
      <c r="P54">
        <v>360.26</v>
      </c>
      <c r="Q54" s="3">
        <f t="shared" si="0"/>
        <v>122.05524768472999</v>
      </c>
      <c r="R54">
        <v>2519.08</v>
      </c>
      <c r="S54" s="3">
        <f>SUM(R54*0.63)</f>
        <v>1587.0203999999999</v>
      </c>
    </row>
    <row r="55" spans="1:20" x14ac:dyDescent="0.2">
      <c r="A55" s="5" t="s">
        <v>9</v>
      </c>
      <c r="B55" s="3">
        <v>162824.54999999999</v>
      </c>
      <c r="D55" s="3">
        <v>2189.35</v>
      </c>
      <c r="F55" s="3">
        <v>46324.93</v>
      </c>
      <c r="H55" s="3">
        <v>0</v>
      </c>
      <c r="J55" s="3">
        <v>0</v>
      </c>
      <c r="L55" s="3">
        <v>8702.6</v>
      </c>
      <c r="N55" s="8">
        <f>SUM(F56/1482572.22)</f>
        <v>-6.0127452003653485E-2</v>
      </c>
      <c r="O55" s="1" t="s">
        <v>18</v>
      </c>
      <c r="P55">
        <v>360.26</v>
      </c>
      <c r="Q55" s="3">
        <f t="shared" si="0"/>
        <v>-21.661515858836204</v>
      </c>
    </row>
    <row r="56" spans="1:20" x14ac:dyDescent="0.2">
      <c r="A56" s="1" t="s">
        <v>10</v>
      </c>
      <c r="B56" s="3">
        <f>SUM(B53+B54-B55)</f>
        <v>641836.23</v>
      </c>
      <c r="D56" s="3">
        <f>SUM(D53+D54-D55)</f>
        <v>502292.01</v>
      </c>
      <c r="F56" s="3">
        <f>SUM(F53+F54-F55)</f>
        <v>-89143.29</v>
      </c>
      <c r="H56" s="3">
        <f>SUM(H53+H54-H55)</f>
        <v>189050.49</v>
      </c>
      <c r="J56" s="3">
        <f>SUM(J53+J54-J55)</f>
        <v>238536.77999999997</v>
      </c>
      <c r="L56" s="3">
        <f>SUM(L53+L54-L55)</f>
        <v>9701.08</v>
      </c>
      <c r="N56" s="8">
        <f>SUM(H56/1482572.22)</f>
        <v>0.12751519787683596</v>
      </c>
      <c r="O56" s="1" t="s">
        <v>19</v>
      </c>
      <c r="P56">
        <v>360.26</v>
      </c>
      <c r="Q56" s="3">
        <f t="shared" si="0"/>
        <v>45.938625187108926</v>
      </c>
    </row>
    <row r="57" spans="1:20" x14ac:dyDescent="0.2">
      <c r="A57" s="4">
        <v>39600</v>
      </c>
      <c r="N57" s="8">
        <f>SUM(J56/1482572.22)</f>
        <v>0.16089386863056154</v>
      </c>
      <c r="O57" s="1" t="s">
        <v>20</v>
      </c>
      <c r="P57">
        <v>360.26</v>
      </c>
      <c r="Q57" s="3">
        <f t="shared" si="0"/>
        <v>57.963625112846103</v>
      </c>
      <c r="R57">
        <v>2519.08</v>
      </c>
      <c r="S57" s="3">
        <f>SUM(R57*0.03)</f>
        <v>75.572400000000002</v>
      </c>
    </row>
    <row r="58" spans="1:20" x14ac:dyDescent="0.2">
      <c r="A58" s="1" t="s">
        <v>7</v>
      </c>
      <c r="B58" s="3">
        <v>641836.23</v>
      </c>
      <c r="D58" s="3">
        <v>502292.01</v>
      </c>
      <c r="F58" s="3">
        <v>-89143.29</v>
      </c>
      <c r="H58" s="3">
        <v>189050.49</v>
      </c>
      <c r="J58" s="3">
        <v>238536.78</v>
      </c>
      <c r="L58" s="3">
        <v>9701.08</v>
      </c>
      <c r="N58" s="8">
        <f>SUM(B63/1898171.46)</f>
        <v>0.45895021517181589</v>
      </c>
      <c r="O58" s="1" t="s">
        <v>16</v>
      </c>
      <c r="P58">
        <v>484.92</v>
      </c>
      <c r="Q58" s="3">
        <f t="shared" si="0"/>
        <v>222.55413834111698</v>
      </c>
      <c r="R58">
        <v>3772.31</v>
      </c>
      <c r="S58" s="3">
        <f>SUM(R58*0.34)</f>
        <v>1282.5854000000002</v>
      </c>
    </row>
    <row r="59" spans="1:20" x14ac:dyDescent="0.2">
      <c r="A59" s="5" t="s">
        <v>8</v>
      </c>
      <c r="B59" s="3">
        <v>409310.46</v>
      </c>
      <c r="D59" s="3">
        <v>51428.65</v>
      </c>
      <c r="F59" s="3">
        <v>189068.4</v>
      </c>
      <c r="H59" s="3">
        <v>6167.7</v>
      </c>
      <c r="J59" s="3">
        <v>22641.93</v>
      </c>
      <c r="L59" s="3">
        <v>3958.18</v>
      </c>
      <c r="N59" s="8">
        <f>SUM(D61/1898171.46)</f>
        <v>0.27868355475116041</v>
      </c>
      <c r="O59" s="1" t="s">
        <v>17</v>
      </c>
      <c r="P59">
        <v>484.92</v>
      </c>
      <c r="Q59" s="3">
        <f t="shared" si="0"/>
        <v>135.13922936993271</v>
      </c>
      <c r="R59">
        <v>3772.31</v>
      </c>
      <c r="S59" s="3">
        <f>SUM(R59*0.63)</f>
        <v>2376.5553</v>
      </c>
    </row>
    <row r="60" spans="1:20" x14ac:dyDescent="0.2">
      <c r="A60" s="5" t="s">
        <v>9</v>
      </c>
      <c r="B60" s="3">
        <v>390321.03</v>
      </c>
      <c r="D60" s="3">
        <v>24731.49</v>
      </c>
      <c r="F60" s="3">
        <v>51389.67</v>
      </c>
      <c r="H60" s="3">
        <v>36150</v>
      </c>
      <c r="J60" s="3">
        <v>0</v>
      </c>
      <c r="L60" s="3">
        <v>21172.2</v>
      </c>
      <c r="N60" s="8">
        <f>SUM(F63/1898171.46)</f>
        <v>4.0970582288704309E-2</v>
      </c>
      <c r="O60" s="1" t="s">
        <v>18</v>
      </c>
      <c r="P60">
        <v>484.92</v>
      </c>
      <c r="Q60" s="3">
        <f t="shared" si="0"/>
        <v>19.867454763438495</v>
      </c>
    </row>
    <row r="61" spans="1:20" x14ac:dyDescent="0.2">
      <c r="A61" s="1" t="s">
        <v>10</v>
      </c>
      <c r="B61" s="3">
        <f>SUM(B58+B59-B60)</f>
        <v>660825.65999999992</v>
      </c>
      <c r="D61" s="3">
        <f>SUM(D58+D59-D60)</f>
        <v>528989.17000000004</v>
      </c>
      <c r="F61" s="3">
        <f>SUM(F58+F59-F60)</f>
        <v>48535.44</v>
      </c>
      <c r="H61" s="3">
        <f>SUM(H58+H59-H60)</f>
        <v>159068.19</v>
      </c>
      <c r="J61" s="3">
        <f>SUM(J58+J59-J60)</f>
        <v>261178.71</v>
      </c>
      <c r="L61" s="3">
        <f>SUM(L58+L59-L60)</f>
        <v>-7512.9400000000005</v>
      </c>
      <c r="N61" s="8">
        <f>SUM(H61/1898171.46)</f>
        <v>8.3800748958684695E-2</v>
      </c>
      <c r="O61" s="1" t="s">
        <v>19</v>
      </c>
      <c r="P61">
        <v>484.92</v>
      </c>
      <c r="Q61" s="3">
        <f t="shared" si="0"/>
        <v>40.636659185045382</v>
      </c>
    </row>
    <row r="62" spans="1:20" x14ac:dyDescent="0.2">
      <c r="A62" s="1" t="s">
        <v>14</v>
      </c>
      <c r="B62" s="3">
        <v>210340.54</v>
      </c>
      <c r="F62" s="3">
        <v>29233.75</v>
      </c>
      <c r="L62" s="3">
        <v>13159.3</v>
      </c>
      <c r="N62" s="8">
        <f>SUM(J61/1898171.46)</f>
        <v>0.13759489882963472</v>
      </c>
      <c r="O62" s="1" t="s">
        <v>20</v>
      </c>
      <c r="P62">
        <v>484.92</v>
      </c>
      <c r="Q62" s="3">
        <f t="shared" si="0"/>
        <v>66.722518340466465</v>
      </c>
      <c r="R62">
        <v>3772.31</v>
      </c>
      <c r="S62" s="3">
        <f>SUM(R62*0.03)</f>
        <v>113.16929999999999</v>
      </c>
    </row>
    <row r="63" spans="1:20" x14ac:dyDescent="0.2">
      <c r="A63" s="1" t="s">
        <v>15</v>
      </c>
      <c r="B63" s="3">
        <f>SUM(B61:B62)</f>
        <v>871166.2</v>
      </c>
      <c r="D63" s="3">
        <v>528989.17000000004</v>
      </c>
      <c r="F63" s="3">
        <f>SUM(F61:F62)</f>
        <v>77769.19</v>
      </c>
      <c r="H63" s="3">
        <v>159068.19</v>
      </c>
      <c r="J63" s="3">
        <v>261178.71</v>
      </c>
      <c r="L63" s="3">
        <f>SUM(L61:L62)</f>
        <v>5646.3599999999988</v>
      </c>
      <c r="O63" s="1" t="s">
        <v>16</v>
      </c>
      <c r="Q63" s="2">
        <f>SUM(Q3,Q8,Q13,Q18,Q23,Q28,Q33,Q38,Q43,Q48,Q53,Q58)</f>
        <v>3385.8935980427118</v>
      </c>
      <c r="S63" s="2">
        <f>SUM(S3,S8,S13,S18,S23,S28,S33,S38,S43,S48,S53,S58)</f>
        <v>7279.886199999999</v>
      </c>
      <c r="T63" s="2">
        <f>SUM(Q63+S63+(Q65*0.4))</f>
        <v>10547.941275140322</v>
      </c>
    </row>
    <row r="64" spans="1:20" x14ac:dyDescent="0.2">
      <c r="O64" s="1" t="s">
        <v>17</v>
      </c>
      <c r="Q64" s="2">
        <f>SUM(Q4,Q9,Q14,Q19,Q24,Q29,Q34,Q39,Q44,Q49,Q54,Q59)</f>
        <v>2637.3931381207494</v>
      </c>
      <c r="S64" s="2">
        <f>SUM(S4,S9,S14,S19,S24,S29,S34,S39,S44,S49,S54,S59)</f>
        <v>13489.200899999998</v>
      </c>
      <c r="T64" s="2">
        <f>SUM(Q64+S64+(Q65*0.35))</f>
        <v>16023.485330581158</v>
      </c>
    </row>
    <row r="65" spans="2:20" x14ac:dyDescent="0.2">
      <c r="O65" s="1" t="s">
        <v>18</v>
      </c>
      <c r="Q65" s="2">
        <f>SUM(Q5,Q10,Q15,Q20,Q25,Q30,Q35,Q40,Q45,Q50,Q55,Q60)</f>
        <v>-294.59630725597225</v>
      </c>
      <c r="S65" s="2"/>
      <c r="T65" s="1"/>
    </row>
    <row r="66" spans="2:20" x14ac:dyDescent="0.2">
      <c r="B66" s="3">
        <f>SUM(B5,B10,B15,B20,B25,B30,B35,B40,B45,B50,B55,B60)</f>
        <v>2289858.7500000005</v>
      </c>
      <c r="D66" s="3">
        <f>SUM(D5,D10,D15,D20,D25,D30,D35,D40,D45,D50,D55,D60)</f>
        <v>328866.15999999997</v>
      </c>
      <c r="F66" s="3">
        <f>SUM(F5,F10,F15,F20,F25,F30,F35,F40,F45,F50,F55,F60)</f>
        <v>498512.85000000003</v>
      </c>
      <c r="H66" s="3">
        <f>SUM(H5,H10,H15,H20,H25,H30,H35,H40,H45,H50,H55,H60)</f>
        <v>45232.05</v>
      </c>
      <c r="J66" s="3">
        <f>SUM(J5,J10,J15,J20,J25,J30,J35,J40,J45,J50,J55,J60)</f>
        <v>148015.08000000002</v>
      </c>
      <c r="L66" s="3">
        <f>SUM(L5,L10,L15,L20,L25,L30,L35,L40,L45,L50,L55,L60)</f>
        <v>148577.03000000003</v>
      </c>
      <c r="O66" s="1" t="s">
        <v>19</v>
      </c>
      <c r="Q66" s="2">
        <f>SUM(Q6,Q11,Q16,Q21,Q26,Q31,Q36,Q41,Q46,Q51,Q56,Q61)</f>
        <v>946.80895273789565</v>
      </c>
      <c r="S66" s="2"/>
      <c r="T66" s="2">
        <f>SUM(Q66+(Q65*0.125))</f>
        <v>909.98441433089909</v>
      </c>
    </row>
    <row r="67" spans="2:20" x14ac:dyDescent="0.2">
      <c r="B67" s="15">
        <f>SUM(B63/B66)</f>
        <v>0.38044538773406866</v>
      </c>
      <c r="D67" s="15">
        <f>SUM(D63/D66)</f>
        <v>1.6085241789547458</v>
      </c>
      <c r="F67" s="15">
        <f>SUM(F63/F66)</f>
        <v>0.15600237787250618</v>
      </c>
      <c r="H67" s="15">
        <f>SUM(H63/H66)</f>
        <v>3.5167141440637777</v>
      </c>
      <c r="J67" s="15">
        <f>SUM(J63/J66)</f>
        <v>1.7645412210701772</v>
      </c>
      <c r="L67" s="15">
        <f>SUM(L63/L66)</f>
        <v>3.8002913370929529E-2</v>
      </c>
      <c r="O67" s="1" t="s">
        <v>20</v>
      </c>
      <c r="Q67" s="2">
        <f>SUM(Q37,Q7,Q12,Q17,Q22,Q27,Q32,Q42,Q47,Q52,Q57,Q62)</f>
        <v>939.4006183546154</v>
      </c>
      <c r="S67" s="2">
        <f>SUM(S7,S12,S17,S22,S27,S32,S37,S42,S47,S52,S57,S62)</f>
        <v>642.34289999999999</v>
      </c>
      <c r="T67" s="2">
        <f>SUM(Q67+S67+(Q65*0.125))</f>
        <v>1544.9189799476189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selection activeCell="K14" sqref="K14"/>
    </sheetView>
  </sheetViews>
  <sheetFormatPr defaultRowHeight="12.75" x14ac:dyDescent="0.2"/>
  <cols>
    <col min="1" max="1" width="21.140625" customWidth="1"/>
    <col min="2" max="2" width="11.85546875" customWidth="1"/>
    <col min="3" max="3" width="12.5703125" customWidth="1"/>
    <col min="4" max="4" width="13.7109375" bestFit="1" customWidth="1"/>
    <col min="5" max="5" width="12.28515625" customWidth="1"/>
    <col min="6" max="7" width="12.85546875" bestFit="1" customWidth="1"/>
    <col min="8" max="8" width="11.140625" bestFit="1" customWidth="1"/>
    <col min="9" max="9" width="11.7109375" bestFit="1" customWidth="1"/>
    <col min="10" max="10" width="11.140625" customWidth="1"/>
    <col min="11" max="11" width="11.28515625" customWidth="1"/>
    <col min="12" max="12" width="11.7109375" customWidth="1"/>
    <col min="13" max="13" width="11.28515625" customWidth="1"/>
  </cols>
  <sheetData>
    <row r="2" spans="1:13" x14ac:dyDescent="0.2">
      <c r="A2" s="1" t="s">
        <v>0</v>
      </c>
      <c r="B2" s="2" t="s">
        <v>1</v>
      </c>
    </row>
    <row r="3" spans="1:13" s="6" customFormat="1" x14ac:dyDescent="0.2">
      <c r="A3" s="6" t="s">
        <v>11</v>
      </c>
      <c r="B3" s="6">
        <v>38534</v>
      </c>
      <c r="C3" s="6">
        <v>38565</v>
      </c>
      <c r="D3" s="6">
        <v>38596</v>
      </c>
      <c r="E3" s="6">
        <v>38626</v>
      </c>
      <c r="F3" s="6">
        <v>38657</v>
      </c>
      <c r="G3" s="6">
        <v>38687</v>
      </c>
      <c r="H3" s="6">
        <v>38718</v>
      </c>
      <c r="I3" s="6">
        <v>38749</v>
      </c>
      <c r="J3" s="6">
        <v>38777</v>
      </c>
      <c r="K3" s="6">
        <v>38808</v>
      </c>
      <c r="L3" s="6">
        <v>38838</v>
      </c>
      <c r="M3" s="6">
        <v>38869</v>
      </c>
    </row>
    <row r="4" spans="1:13" x14ac:dyDescent="0.2">
      <c r="A4" s="1" t="s">
        <v>7</v>
      </c>
      <c r="B4" s="3">
        <v>712710.55</v>
      </c>
      <c r="C4" s="3">
        <v>706188.31</v>
      </c>
      <c r="D4" s="3">
        <v>623235.43999999994</v>
      </c>
      <c r="E4" s="3">
        <v>587818.39</v>
      </c>
      <c r="F4" s="3">
        <v>466929</v>
      </c>
      <c r="G4" s="3">
        <v>536738.05000000005</v>
      </c>
      <c r="H4" s="3">
        <f t="shared" ref="H4:M4" si="0">G7</f>
        <v>530863.08000000007</v>
      </c>
      <c r="I4" s="3">
        <f t="shared" si="0"/>
        <v>523338.09000000008</v>
      </c>
      <c r="J4" s="3">
        <f t="shared" si="0"/>
        <v>446764.60000000009</v>
      </c>
      <c r="K4" s="3">
        <f t="shared" si="0"/>
        <v>403321.6100000001</v>
      </c>
      <c r="L4" s="3">
        <f t="shared" si="0"/>
        <v>315357.37000000011</v>
      </c>
      <c r="M4" s="3">
        <f t="shared" si="0"/>
        <v>470915.08000000007</v>
      </c>
    </row>
    <row r="5" spans="1:13" x14ac:dyDescent="0.2">
      <c r="A5" s="5" t="s">
        <v>8</v>
      </c>
      <c r="B5" s="3">
        <v>157137.67000000001</v>
      </c>
      <c r="C5" s="3">
        <v>89507.36</v>
      </c>
      <c r="D5" s="3">
        <v>141069.91</v>
      </c>
      <c r="E5" s="3">
        <v>91634.65</v>
      </c>
      <c r="F5" s="3">
        <v>255931.55</v>
      </c>
      <c r="G5" s="3">
        <v>163429.26999999999</v>
      </c>
      <c r="H5" s="3">
        <v>150966.29999999999</v>
      </c>
      <c r="I5" s="3">
        <v>102222.36</v>
      </c>
      <c r="J5" s="3">
        <v>131033.87</v>
      </c>
      <c r="K5" s="3">
        <v>94680</v>
      </c>
      <c r="L5" s="3">
        <v>336838.75</v>
      </c>
      <c r="M5" s="3">
        <v>305767.73</v>
      </c>
    </row>
    <row r="6" spans="1:13" x14ac:dyDescent="0.2">
      <c r="A6" s="5" t="s">
        <v>9</v>
      </c>
      <c r="B6" s="3">
        <v>163659.91</v>
      </c>
      <c r="C6" s="3">
        <v>172460.23</v>
      </c>
      <c r="D6" s="3">
        <v>176486.96</v>
      </c>
      <c r="E6" s="3">
        <v>212524.04</v>
      </c>
      <c r="F6" s="3">
        <v>186122.5</v>
      </c>
      <c r="G6" s="3">
        <v>169304.24</v>
      </c>
      <c r="H6" s="3">
        <v>158491.29</v>
      </c>
      <c r="I6" s="3">
        <v>178795.85</v>
      </c>
      <c r="J6" s="3">
        <v>174476.86</v>
      </c>
      <c r="K6" s="3">
        <v>182644.24</v>
      </c>
      <c r="L6" s="3">
        <v>181281.04</v>
      </c>
      <c r="M6" s="3">
        <v>368446.89</v>
      </c>
    </row>
    <row r="7" spans="1:13" x14ac:dyDescent="0.2">
      <c r="A7" s="1" t="s">
        <v>10</v>
      </c>
      <c r="B7" s="3">
        <f>SUM(B4+B5-B6)</f>
        <v>706188.31</v>
      </c>
      <c r="C7" s="3">
        <f>SUM(C4+C5-C6)</f>
        <v>623235.44000000006</v>
      </c>
      <c r="D7" s="3">
        <f>SUM(D4+D5-D6)</f>
        <v>587818.39</v>
      </c>
      <c r="E7" s="3">
        <f>SUM(E4+E5-E6)</f>
        <v>466929</v>
      </c>
      <c r="F7" s="3">
        <f>SUM(F4+F5-F6)</f>
        <v>536738.05000000005</v>
      </c>
      <c r="G7" s="3">
        <f t="shared" ref="G7:M7" si="1">SUM(G4+G5-G6)</f>
        <v>530863.08000000007</v>
      </c>
      <c r="H7" s="3">
        <f t="shared" si="1"/>
        <v>523338.09000000008</v>
      </c>
      <c r="I7" s="3">
        <f t="shared" si="1"/>
        <v>446764.60000000009</v>
      </c>
      <c r="J7" s="3">
        <f t="shared" si="1"/>
        <v>403321.6100000001</v>
      </c>
      <c r="K7" s="3">
        <f t="shared" si="1"/>
        <v>315357.37000000011</v>
      </c>
      <c r="L7" s="3">
        <f t="shared" si="1"/>
        <v>470915.08000000007</v>
      </c>
      <c r="M7" s="3">
        <f t="shared" si="1"/>
        <v>408235.92000000004</v>
      </c>
    </row>
    <row r="9" spans="1:13" x14ac:dyDescent="0.2">
      <c r="A9" s="1" t="s">
        <v>0</v>
      </c>
      <c r="B9" s="2" t="s">
        <v>1</v>
      </c>
    </row>
    <row r="10" spans="1:13" x14ac:dyDescent="0.2">
      <c r="A10" s="6" t="s">
        <v>11</v>
      </c>
      <c r="B10" s="6">
        <v>38899</v>
      </c>
      <c r="C10" s="6">
        <v>38930</v>
      </c>
      <c r="D10" s="6">
        <v>38961</v>
      </c>
      <c r="E10" s="6">
        <v>38991</v>
      </c>
      <c r="F10" s="6">
        <v>39022</v>
      </c>
      <c r="G10" s="6">
        <v>39052</v>
      </c>
      <c r="H10" s="6">
        <v>39083</v>
      </c>
      <c r="I10" s="6">
        <v>39114</v>
      </c>
      <c r="J10" s="6">
        <v>39142</v>
      </c>
      <c r="K10" s="6">
        <v>39173</v>
      </c>
      <c r="L10" s="6">
        <v>39203</v>
      </c>
      <c r="M10" s="6">
        <v>39234</v>
      </c>
    </row>
    <row r="11" spans="1:13" x14ac:dyDescent="0.2">
      <c r="A11" s="1" t="s">
        <v>7</v>
      </c>
      <c r="B11" s="3">
        <v>584197.88</v>
      </c>
      <c r="C11" s="3">
        <v>553949.38</v>
      </c>
      <c r="D11" s="3">
        <v>485114.44</v>
      </c>
      <c r="E11" s="3">
        <v>476979.68</v>
      </c>
      <c r="F11" s="3">
        <v>429290.15</v>
      </c>
      <c r="G11" s="3">
        <f t="shared" ref="G11:M11" si="2">F14</f>
        <v>442204.96</v>
      </c>
      <c r="H11" s="3">
        <f t="shared" si="2"/>
        <v>441909.11</v>
      </c>
      <c r="I11" s="3">
        <f t="shared" si="2"/>
        <v>390661.12999999995</v>
      </c>
      <c r="J11" s="3">
        <f t="shared" si="2"/>
        <v>356236.16</v>
      </c>
      <c r="K11" s="3">
        <f t="shared" si="2"/>
        <v>320060.43999999994</v>
      </c>
      <c r="L11" s="3">
        <f t="shared" si="2"/>
        <v>271879.49</v>
      </c>
      <c r="M11" s="3">
        <f t="shared" si="2"/>
        <v>463990.12</v>
      </c>
    </row>
    <row r="12" spans="1:13" x14ac:dyDescent="0.2">
      <c r="A12" s="5" t="s">
        <v>8</v>
      </c>
      <c r="B12" s="3">
        <v>144296.79</v>
      </c>
      <c r="C12" s="3">
        <v>82354.34</v>
      </c>
      <c r="D12" s="3">
        <v>150871.71</v>
      </c>
      <c r="E12" s="3">
        <v>110284.19</v>
      </c>
      <c r="F12" s="3">
        <v>219569.26</v>
      </c>
      <c r="G12" s="3">
        <v>156988.07</v>
      </c>
      <c r="H12" s="3">
        <v>116118.58</v>
      </c>
      <c r="I12" s="3">
        <v>124052.71</v>
      </c>
      <c r="J12" s="3">
        <v>143094.01999999999</v>
      </c>
      <c r="K12" s="3">
        <v>108176.26</v>
      </c>
      <c r="L12" s="3">
        <v>303012.52</v>
      </c>
      <c r="M12" s="3">
        <v>226791.22</v>
      </c>
    </row>
    <row r="13" spans="1:13" x14ac:dyDescent="0.2">
      <c r="A13" s="5" t="s">
        <v>9</v>
      </c>
      <c r="B13" s="3">
        <v>174545.29</v>
      </c>
      <c r="C13" s="3">
        <v>151189.28</v>
      </c>
      <c r="D13" s="3">
        <v>159006.47</v>
      </c>
      <c r="E13" s="3">
        <v>157973.72</v>
      </c>
      <c r="F13" s="3">
        <v>206654.45</v>
      </c>
      <c r="G13" s="3">
        <v>157283.92000000001</v>
      </c>
      <c r="H13" s="3">
        <v>167366.56</v>
      </c>
      <c r="I13" s="3">
        <v>158477.68</v>
      </c>
      <c r="J13" s="3">
        <v>179269.74</v>
      </c>
      <c r="K13" s="3">
        <v>156357.21</v>
      </c>
      <c r="L13" s="3">
        <v>110901.89</v>
      </c>
      <c r="M13" s="3">
        <v>158761.53</v>
      </c>
    </row>
    <row r="14" spans="1:13" x14ac:dyDescent="0.2">
      <c r="A14" s="1" t="s">
        <v>10</v>
      </c>
      <c r="B14" s="3">
        <f>SUM(B11+B12-B13)</f>
        <v>553949.38</v>
      </c>
      <c r="C14" s="3">
        <f>SUM(C11+C12-C13)</f>
        <v>485114.43999999994</v>
      </c>
      <c r="D14" s="3">
        <f>SUM(D11+D12-D13)</f>
        <v>476979.68000000005</v>
      </c>
      <c r="E14" s="3">
        <f>SUM(E11+E12-E13)</f>
        <v>429290.15</v>
      </c>
      <c r="F14" s="3">
        <f>SUM(F11+F12-F13)</f>
        <v>442204.96</v>
      </c>
      <c r="G14" s="3">
        <f t="shared" ref="G14:M14" si="3">SUM(G11+G12-G13)</f>
        <v>441909.11</v>
      </c>
      <c r="H14" s="3">
        <f t="shared" si="3"/>
        <v>390661.12999999995</v>
      </c>
      <c r="I14" s="3">
        <f t="shared" si="3"/>
        <v>356236.16</v>
      </c>
      <c r="J14" s="3">
        <f t="shared" si="3"/>
        <v>320060.43999999994</v>
      </c>
      <c r="K14" s="3">
        <f t="shared" si="3"/>
        <v>271879.49</v>
      </c>
      <c r="L14" s="3">
        <f t="shared" si="3"/>
        <v>463990.12</v>
      </c>
      <c r="M14" s="3">
        <f t="shared" si="3"/>
        <v>532019.80999999994</v>
      </c>
    </row>
    <row r="16" spans="1:13" x14ac:dyDescent="0.2">
      <c r="A16" s="1" t="s">
        <v>0</v>
      </c>
      <c r="B16" s="2" t="s">
        <v>1</v>
      </c>
    </row>
    <row r="17" spans="1:13" x14ac:dyDescent="0.2">
      <c r="A17" s="6" t="s">
        <v>11</v>
      </c>
      <c r="B17" s="6">
        <v>39264</v>
      </c>
      <c r="C17" s="6">
        <v>39295</v>
      </c>
      <c r="D17" s="6">
        <v>39326</v>
      </c>
      <c r="E17" s="6">
        <v>39356</v>
      </c>
      <c r="F17" s="6">
        <v>39387</v>
      </c>
      <c r="G17" s="6">
        <v>39417</v>
      </c>
      <c r="H17" s="6">
        <v>39448</v>
      </c>
      <c r="I17" s="6">
        <v>39479</v>
      </c>
      <c r="J17" s="6">
        <v>39508</v>
      </c>
      <c r="K17" s="6">
        <v>39539</v>
      </c>
      <c r="L17" s="6">
        <v>39569</v>
      </c>
      <c r="M17" s="6">
        <v>39600</v>
      </c>
    </row>
    <row r="18" spans="1:13" x14ac:dyDescent="0.2">
      <c r="A18" s="1" t="s">
        <v>7</v>
      </c>
      <c r="B18" s="3">
        <v>531983.56000000006</v>
      </c>
      <c r="C18" s="3">
        <v>655017.28</v>
      </c>
      <c r="D18" s="3">
        <v>634067.76</v>
      </c>
      <c r="E18" s="3">
        <v>544479.16</v>
      </c>
      <c r="F18" s="3">
        <v>529052.53</v>
      </c>
      <c r="G18" s="3">
        <f t="shared" ref="G18:M18" si="4">F21</f>
        <v>659263.39999999991</v>
      </c>
      <c r="H18" s="3">
        <f t="shared" si="4"/>
        <v>658577.73</v>
      </c>
      <c r="I18" s="3">
        <f t="shared" si="4"/>
        <v>591688.92999999993</v>
      </c>
      <c r="J18" s="3">
        <f t="shared" si="4"/>
        <v>559699.9</v>
      </c>
      <c r="K18" s="3">
        <f t="shared" si="4"/>
        <v>513497.95000000007</v>
      </c>
      <c r="L18" s="3">
        <f t="shared" si="4"/>
        <v>479641.82000000007</v>
      </c>
      <c r="M18" s="3">
        <f t="shared" si="4"/>
        <v>641836.23</v>
      </c>
    </row>
    <row r="19" spans="1:13" x14ac:dyDescent="0.2">
      <c r="A19" s="5" t="s">
        <v>8</v>
      </c>
      <c r="B19" s="3">
        <v>290761.09999999998</v>
      </c>
      <c r="C19" s="3">
        <v>142782.93</v>
      </c>
      <c r="D19" s="3">
        <v>108847.9</v>
      </c>
      <c r="E19" s="3">
        <v>138533.04999999999</v>
      </c>
      <c r="F19" s="3">
        <v>354743.92</v>
      </c>
      <c r="G19" s="3">
        <v>174964.52</v>
      </c>
      <c r="H19" s="3">
        <v>87473.09</v>
      </c>
      <c r="I19" s="3">
        <v>150356.81</v>
      </c>
      <c r="J19" s="3">
        <v>114663.39</v>
      </c>
      <c r="K19" s="3">
        <v>121244.72</v>
      </c>
      <c r="L19" s="3">
        <v>325018.96000000002</v>
      </c>
      <c r="M19" s="3">
        <v>409310.46</v>
      </c>
    </row>
    <row r="20" spans="1:13" x14ac:dyDescent="0.2">
      <c r="A20" s="5" t="s">
        <v>9</v>
      </c>
      <c r="B20" s="3">
        <v>167727.38</v>
      </c>
      <c r="C20" s="3">
        <v>163732.45000000001</v>
      </c>
      <c r="D20" s="3">
        <v>198436.5</v>
      </c>
      <c r="E20" s="3">
        <v>153959.67999999999</v>
      </c>
      <c r="F20" s="3">
        <v>224533.05</v>
      </c>
      <c r="G20" s="3">
        <v>175650.19</v>
      </c>
      <c r="H20" s="3">
        <v>154361.89000000001</v>
      </c>
      <c r="I20" s="3">
        <v>182345.84</v>
      </c>
      <c r="J20" s="3">
        <v>160865.34</v>
      </c>
      <c r="K20" s="3">
        <v>155100.85</v>
      </c>
      <c r="L20" s="3">
        <v>162824.54999999999</v>
      </c>
      <c r="M20" s="3">
        <v>390321.03</v>
      </c>
    </row>
    <row r="21" spans="1:13" x14ac:dyDescent="0.2">
      <c r="A21" s="1" t="s">
        <v>10</v>
      </c>
      <c r="B21" s="3">
        <f>SUM(B18+B19-B20)</f>
        <v>655017.28</v>
      </c>
      <c r="C21" s="3">
        <f>SUM(C18+C19-C20)</f>
        <v>634067.76</v>
      </c>
      <c r="D21" s="3">
        <f>SUM(D18+D19-D20)</f>
        <v>544479.16</v>
      </c>
      <c r="E21" s="3">
        <f>SUM(E18+E19-E20)</f>
        <v>529052.53</v>
      </c>
      <c r="F21" s="3">
        <f>SUM(F18+F19-F20)</f>
        <v>659263.39999999991</v>
      </c>
      <c r="G21" s="3">
        <f t="shared" ref="G21:M21" si="5">SUM(G18+G19-G20)</f>
        <v>658577.73</v>
      </c>
      <c r="H21" s="3">
        <f t="shared" si="5"/>
        <v>591688.92999999993</v>
      </c>
      <c r="I21" s="3">
        <f t="shared" si="5"/>
        <v>559699.9</v>
      </c>
      <c r="J21" s="3">
        <f t="shared" si="5"/>
        <v>513497.95000000007</v>
      </c>
      <c r="K21" s="3">
        <f t="shared" si="5"/>
        <v>479641.82000000007</v>
      </c>
      <c r="L21" s="3">
        <f t="shared" si="5"/>
        <v>641836.23</v>
      </c>
      <c r="M21" s="3">
        <f t="shared" si="5"/>
        <v>660825.65999999992</v>
      </c>
    </row>
    <row r="22" spans="1:13" x14ac:dyDescent="0.2">
      <c r="L22" t="s">
        <v>12</v>
      </c>
      <c r="M22" s="3">
        <v>210340.54</v>
      </c>
    </row>
    <row r="23" spans="1:13" x14ac:dyDescent="0.2">
      <c r="A23" s="1" t="s">
        <v>0</v>
      </c>
      <c r="B23" s="2" t="s">
        <v>2</v>
      </c>
      <c r="L23" t="s">
        <v>13</v>
      </c>
      <c r="M23" s="3">
        <f>SUM(M21:M22)</f>
        <v>871166.2</v>
      </c>
    </row>
    <row r="24" spans="1:13" x14ac:dyDescent="0.2">
      <c r="A24" s="6" t="s">
        <v>11</v>
      </c>
      <c r="B24" s="6">
        <v>38534</v>
      </c>
      <c r="C24" s="6">
        <v>38565</v>
      </c>
      <c r="D24" s="6">
        <v>38596</v>
      </c>
      <c r="E24" s="6">
        <v>38626</v>
      </c>
      <c r="F24" s="6">
        <v>38657</v>
      </c>
      <c r="G24" s="6">
        <v>38687</v>
      </c>
      <c r="H24" s="6">
        <v>38718</v>
      </c>
      <c r="I24" s="6">
        <v>38749</v>
      </c>
      <c r="J24" s="6">
        <v>38777</v>
      </c>
      <c r="K24" s="6">
        <v>38808</v>
      </c>
      <c r="L24" s="6">
        <v>38838</v>
      </c>
      <c r="M24" s="6">
        <v>38869</v>
      </c>
    </row>
    <row r="25" spans="1:13" x14ac:dyDescent="0.2">
      <c r="A25" s="1" t="s">
        <v>7</v>
      </c>
      <c r="B25" s="3">
        <v>371097.18</v>
      </c>
      <c r="C25" s="3">
        <v>362359.56</v>
      </c>
      <c r="D25" s="3">
        <v>315297.43</v>
      </c>
      <c r="E25" s="3">
        <v>294199.37</v>
      </c>
      <c r="F25" s="3">
        <v>295815.95</v>
      </c>
      <c r="G25" s="3">
        <v>388999.08</v>
      </c>
      <c r="H25" s="3">
        <f t="shared" ref="H25:M25" si="6">G28</f>
        <v>341292.89</v>
      </c>
      <c r="I25" s="3">
        <f t="shared" si="6"/>
        <v>347126.85</v>
      </c>
      <c r="J25" s="3">
        <f t="shared" si="6"/>
        <v>348381.89999999997</v>
      </c>
      <c r="K25" s="3">
        <f t="shared" si="6"/>
        <v>349103.99</v>
      </c>
      <c r="L25" s="3">
        <f t="shared" si="6"/>
        <v>358358.12</v>
      </c>
      <c r="M25" s="3">
        <f t="shared" si="6"/>
        <v>448914.02</v>
      </c>
    </row>
    <row r="26" spans="1:13" x14ac:dyDescent="0.2">
      <c r="A26" s="5" t="s">
        <v>8</v>
      </c>
      <c r="B26" s="3">
        <v>2467.33</v>
      </c>
      <c r="C26" s="3">
        <v>1175.45</v>
      </c>
      <c r="D26" s="3">
        <v>1055.8399999999999</v>
      </c>
      <c r="E26" s="3">
        <v>3162.46</v>
      </c>
      <c r="F26" s="3">
        <v>97739.04</v>
      </c>
      <c r="G26" s="3">
        <v>47919.7</v>
      </c>
      <c r="H26" s="3">
        <v>7425.04</v>
      </c>
      <c r="I26" s="3">
        <v>6888.48</v>
      </c>
      <c r="J26" s="3">
        <v>1278.45</v>
      </c>
      <c r="K26" s="3">
        <v>10086.64</v>
      </c>
      <c r="L26" s="3">
        <v>93149.87</v>
      </c>
      <c r="M26" s="3">
        <v>51421.81</v>
      </c>
    </row>
    <row r="27" spans="1:13" x14ac:dyDescent="0.2">
      <c r="A27" s="5" t="s">
        <v>9</v>
      </c>
      <c r="B27" s="3">
        <v>11204.95</v>
      </c>
      <c r="C27" s="3">
        <v>48237.58</v>
      </c>
      <c r="D27" s="3">
        <v>22153.9</v>
      </c>
      <c r="E27" s="3">
        <v>1545.88</v>
      </c>
      <c r="F27" s="3">
        <v>4555.91</v>
      </c>
      <c r="G27" s="3">
        <v>95625.89</v>
      </c>
      <c r="H27" s="3">
        <v>1591.08</v>
      </c>
      <c r="I27" s="3">
        <v>5633.43</v>
      </c>
      <c r="J27" s="3">
        <v>556.36</v>
      </c>
      <c r="K27" s="3">
        <v>832.51</v>
      </c>
      <c r="L27" s="3">
        <v>2593.9699999999998</v>
      </c>
      <c r="M27" s="3">
        <v>39312.31</v>
      </c>
    </row>
    <row r="28" spans="1:13" x14ac:dyDescent="0.2">
      <c r="A28" s="1" t="s">
        <v>10</v>
      </c>
      <c r="B28" s="3">
        <f>SUM(B25+B26-B27)</f>
        <v>362359.56</v>
      </c>
      <c r="C28" s="3">
        <f>SUM(C25+C26-C27)</f>
        <v>315297.43</v>
      </c>
      <c r="D28" s="3">
        <f>SUM(D25+D26-D27)</f>
        <v>294199.37</v>
      </c>
      <c r="E28" s="3">
        <f>SUM(E25+E26-E27)</f>
        <v>295815.95</v>
      </c>
      <c r="F28" s="3">
        <f>SUM(F25+F26-F27)</f>
        <v>388999.08</v>
      </c>
      <c r="G28" s="3">
        <f t="shared" ref="G28:M28" si="7">SUM(G25+G26-G27)</f>
        <v>341292.89</v>
      </c>
      <c r="H28" s="3">
        <f t="shared" si="7"/>
        <v>347126.85</v>
      </c>
      <c r="I28" s="3">
        <f t="shared" si="7"/>
        <v>348381.89999999997</v>
      </c>
      <c r="J28" s="3">
        <f t="shared" si="7"/>
        <v>349103.99</v>
      </c>
      <c r="K28" s="3">
        <f t="shared" si="7"/>
        <v>358358.12</v>
      </c>
      <c r="L28" s="3">
        <f t="shared" si="7"/>
        <v>448914.02</v>
      </c>
      <c r="M28" s="3">
        <f t="shared" si="7"/>
        <v>461023.52</v>
      </c>
    </row>
    <row r="30" spans="1:13" x14ac:dyDescent="0.2">
      <c r="A30" s="1" t="s">
        <v>0</v>
      </c>
      <c r="B30" s="2" t="s">
        <v>2</v>
      </c>
    </row>
    <row r="31" spans="1:13" x14ac:dyDescent="0.2">
      <c r="A31" s="6" t="s">
        <v>11</v>
      </c>
      <c r="B31" s="6">
        <v>38899</v>
      </c>
      <c r="C31" s="6">
        <v>38930</v>
      </c>
      <c r="D31" s="6">
        <v>38961</v>
      </c>
      <c r="E31" s="6">
        <v>38991</v>
      </c>
      <c r="F31" s="6">
        <v>39022</v>
      </c>
      <c r="G31" s="6">
        <v>39052</v>
      </c>
      <c r="H31" s="6">
        <v>39083</v>
      </c>
      <c r="I31" s="6">
        <v>39114</v>
      </c>
      <c r="J31" s="6">
        <v>39142</v>
      </c>
      <c r="K31" s="6">
        <v>39173</v>
      </c>
      <c r="L31" s="6">
        <v>39203</v>
      </c>
      <c r="M31" s="6">
        <v>39234</v>
      </c>
    </row>
    <row r="32" spans="1:13" x14ac:dyDescent="0.2">
      <c r="A32" s="1" t="s">
        <v>7</v>
      </c>
      <c r="B32" s="3">
        <v>461023.52</v>
      </c>
      <c r="C32" s="3">
        <v>455151.68</v>
      </c>
      <c r="D32" s="3">
        <v>431787.38</v>
      </c>
      <c r="E32" s="3">
        <v>408423.78</v>
      </c>
      <c r="F32" s="3">
        <v>405552.83</v>
      </c>
      <c r="G32" s="3">
        <f t="shared" ref="G32:M32" si="8">F35</f>
        <v>495386.6</v>
      </c>
      <c r="H32" s="3">
        <f t="shared" si="8"/>
        <v>440591.51</v>
      </c>
      <c r="I32" s="3">
        <f t="shared" si="8"/>
        <v>453276.82</v>
      </c>
      <c r="J32" s="3">
        <f t="shared" si="8"/>
        <v>424649.52</v>
      </c>
      <c r="K32" s="3">
        <f t="shared" si="8"/>
        <v>422610.42000000004</v>
      </c>
      <c r="L32" s="3">
        <f t="shared" si="8"/>
        <v>424703.47000000003</v>
      </c>
      <c r="M32" s="3">
        <f t="shared" si="8"/>
        <v>506304.36</v>
      </c>
    </row>
    <row r="33" spans="1:13" x14ac:dyDescent="0.2">
      <c r="A33" s="5" t="s">
        <v>8</v>
      </c>
      <c r="B33" s="3">
        <v>4957.78</v>
      </c>
      <c r="C33" s="3">
        <v>504.67</v>
      </c>
      <c r="D33" s="3">
        <v>3092.18</v>
      </c>
      <c r="E33" s="3">
        <v>5372.21</v>
      </c>
      <c r="F33" s="3">
        <v>99410.48</v>
      </c>
      <c r="G33" s="3">
        <v>48922.3</v>
      </c>
      <c r="H33" s="3">
        <v>4819.37</v>
      </c>
      <c r="I33" s="3">
        <v>5596.55</v>
      </c>
      <c r="J33" s="3">
        <v>2606</v>
      </c>
      <c r="K33" s="3">
        <v>7201.24</v>
      </c>
      <c r="L33" s="3">
        <v>83172.03</v>
      </c>
      <c r="M33" s="3">
        <v>50670.17</v>
      </c>
    </row>
    <row r="34" spans="1:13" x14ac:dyDescent="0.2">
      <c r="A34" s="5" t="s">
        <v>9</v>
      </c>
      <c r="B34" s="3">
        <v>10829.62</v>
      </c>
      <c r="C34" s="3">
        <v>23868.97</v>
      </c>
      <c r="D34" s="3">
        <v>26455.78</v>
      </c>
      <c r="E34" s="3">
        <v>8243.16</v>
      </c>
      <c r="F34" s="3">
        <v>9576.7099999999991</v>
      </c>
      <c r="G34" s="3">
        <v>103717.39</v>
      </c>
      <c r="H34" s="3">
        <v>-7865.94</v>
      </c>
      <c r="I34" s="3">
        <v>34223.85</v>
      </c>
      <c r="J34" s="3">
        <v>4645.1000000000004</v>
      </c>
      <c r="K34" s="3">
        <v>5108.1899999999996</v>
      </c>
      <c r="L34" s="3">
        <v>1571.14</v>
      </c>
      <c r="M34" s="3">
        <v>25990.76</v>
      </c>
    </row>
    <row r="35" spans="1:13" x14ac:dyDescent="0.2">
      <c r="A35" s="1" t="s">
        <v>10</v>
      </c>
      <c r="B35" s="3">
        <f>SUM(B32+B33-B34)</f>
        <v>455151.68000000005</v>
      </c>
      <c r="C35" s="3">
        <f>SUM(C32+C33-C34)</f>
        <v>431787.38</v>
      </c>
      <c r="D35" s="3">
        <f>SUM(D32+D33-D34)</f>
        <v>408423.78</v>
      </c>
      <c r="E35" s="3">
        <f>SUM(E32+E33-E34)</f>
        <v>405552.83000000007</v>
      </c>
      <c r="F35" s="3">
        <f>SUM(F32+F33-F34)</f>
        <v>495386.6</v>
      </c>
      <c r="G35" s="3">
        <f t="shared" ref="G35:M35" si="9">SUM(G32+G33-G34)</f>
        <v>440591.51</v>
      </c>
      <c r="H35" s="3">
        <f t="shared" si="9"/>
        <v>453276.82</v>
      </c>
      <c r="I35" s="3">
        <f t="shared" si="9"/>
        <v>424649.52</v>
      </c>
      <c r="J35" s="3">
        <f t="shared" si="9"/>
        <v>422610.42000000004</v>
      </c>
      <c r="K35" s="3">
        <f t="shared" si="9"/>
        <v>424703.47000000003</v>
      </c>
      <c r="L35" s="3">
        <f t="shared" si="9"/>
        <v>506304.36</v>
      </c>
      <c r="M35" s="3">
        <f t="shared" si="9"/>
        <v>530983.77</v>
      </c>
    </row>
    <row r="37" spans="1:13" x14ac:dyDescent="0.2">
      <c r="A37" s="1" t="s">
        <v>0</v>
      </c>
      <c r="B37" s="2" t="s">
        <v>2</v>
      </c>
    </row>
    <row r="38" spans="1:13" x14ac:dyDescent="0.2">
      <c r="A38" s="6" t="s">
        <v>11</v>
      </c>
      <c r="B38" s="6">
        <v>39264</v>
      </c>
      <c r="C38" s="6">
        <v>39295</v>
      </c>
      <c r="D38" s="6">
        <v>39326</v>
      </c>
      <c r="E38" s="6">
        <v>39356</v>
      </c>
      <c r="F38" s="6">
        <v>39387</v>
      </c>
      <c r="G38" s="6">
        <v>39417</v>
      </c>
      <c r="H38" s="6">
        <v>39448</v>
      </c>
      <c r="I38" s="6">
        <v>39479</v>
      </c>
      <c r="J38" s="6">
        <v>39508</v>
      </c>
      <c r="K38" s="6">
        <v>39539</v>
      </c>
      <c r="L38" s="6">
        <v>39569</v>
      </c>
      <c r="M38" s="6">
        <v>39600</v>
      </c>
    </row>
    <row r="39" spans="1:13" x14ac:dyDescent="0.2">
      <c r="A39" s="1" t="s">
        <v>7</v>
      </c>
      <c r="B39" s="3">
        <v>531020.02</v>
      </c>
      <c r="C39" s="3">
        <v>520773.8</v>
      </c>
      <c r="D39" s="3">
        <v>513978.63</v>
      </c>
      <c r="E39" s="3">
        <v>488481.93</v>
      </c>
      <c r="F39" s="3">
        <v>492486.53</v>
      </c>
      <c r="G39" s="3">
        <f t="shared" ref="G39:M39" si="10">F42</f>
        <v>456118.68000000005</v>
      </c>
      <c r="H39" s="3">
        <f t="shared" si="10"/>
        <v>453328.59</v>
      </c>
      <c r="I39" s="3">
        <f t="shared" si="10"/>
        <v>449165.41000000003</v>
      </c>
      <c r="J39" s="3">
        <f t="shared" si="10"/>
        <v>457923.60000000003</v>
      </c>
      <c r="K39" s="3">
        <f t="shared" si="10"/>
        <v>390863.21000000008</v>
      </c>
      <c r="L39" s="3">
        <f t="shared" si="10"/>
        <v>408002.85000000009</v>
      </c>
      <c r="M39" s="3">
        <f t="shared" si="10"/>
        <v>502292.01000000013</v>
      </c>
    </row>
    <row r="40" spans="1:13" x14ac:dyDescent="0.2">
      <c r="A40" s="5" t="s">
        <v>8</v>
      </c>
      <c r="B40" s="3">
        <v>790.41</v>
      </c>
      <c r="C40" s="3">
        <v>-2199.12</v>
      </c>
      <c r="D40" s="3">
        <v>3551.04</v>
      </c>
      <c r="E40" s="3">
        <v>7999.93</v>
      </c>
      <c r="F40" s="3">
        <v>104146.11</v>
      </c>
      <c r="G40" s="3">
        <v>32911.589999999997</v>
      </c>
      <c r="H40" s="3">
        <v>302.08</v>
      </c>
      <c r="I40" s="3">
        <v>10997.19</v>
      </c>
      <c r="J40" s="3">
        <v>1327.78</v>
      </c>
      <c r="K40" s="3">
        <v>19101.14</v>
      </c>
      <c r="L40" s="3">
        <v>96478.51</v>
      </c>
      <c r="M40" s="3">
        <v>51428.65</v>
      </c>
    </row>
    <row r="41" spans="1:13" x14ac:dyDescent="0.2">
      <c r="A41" s="5" t="s">
        <v>9</v>
      </c>
      <c r="B41" s="3">
        <v>11036.63</v>
      </c>
      <c r="C41" s="3">
        <v>4596.05</v>
      </c>
      <c r="D41" s="3">
        <v>29047.74</v>
      </c>
      <c r="E41" s="3">
        <v>3995.33</v>
      </c>
      <c r="F41" s="3">
        <v>140513.96</v>
      </c>
      <c r="G41" s="3">
        <v>35701.68</v>
      </c>
      <c r="H41" s="3">
        <v>4465.26</v>
      </c>
      <c r="I41" s="3">
        <v>2239</v>
      </c>
      <c r="J41" s="3">
        <v>68388.17</v>
      </c>
      <c r="K41" s="3">
        <v>1961.5</v>
      </c>
      <c r="L41" s="3">
        <v>2189.35</v>
      </c>
      <c r="M41" s="3">
        <v>24731.49</v>
      </c>
    </row>
    <row r="42" spans="1:13" x14ac:dyDescent="0.2">
      <c r="A42" s="1" t="s">
        <v>10</v>
      </c>
      <c r="B42" s="3">
        <f>SUM(B39+B40-B41)</f>
        <v>520773.80000000005</v>
      </c>
      <c r="C42" s="3">
        <f>SUM(C39+C40-C41)</f>
        <v>513978.63</v>
      </c>
      <c r="D42" s="3">
        <f>SUM(D39+D40-D41)</f>
        <v>488481.93</v>
      </c>
      <c r="E42" s="3">
        <f>SUM(E39+E40-E41)</f>
        <v>492486.52999999997</v>
      </c>
      <c r="F42" s="3">
        <f>SUM(F39+F40-F41)</f>
        <v>456118.68000000005</v>
      </c>
      <c r="G42" s="3">
        <f t="shared" ref="G42:M42" si="11">SUM(G39+G40-G41)</f>
        <v>453328.59</v>
      </c>
      <c r="H42" s="3">
        <f t="shared" si="11"/>
        <v>449165.41000000003</v>
      </c>
      <c r="I42" s="3">
        <f t="shared" si="11"/>
        <v>457923.60000000003</v>
      </c>
      <c r="J42" s="3">
        <f t="shared" si="11"/>
        <v>390863.21000000008</v>
      </c>
      <c r="K42" s="3">
        <f t="shared" si="11"/>
        <v>408002.85000000009</v>
      </c>
      <c r="L42" s="3">
        <f t="shared" si="11"/>
        <v>502292.01000000013</v>
      </c>
      <c r="M42" s="3">
        <f t="shared" si="11"/>
        <v>528989.17000000016</v>
      </c>
    </row>
    <row r="44" spans="1:13" x14ac:dyDescent="0.2">
      <c r="B44" s="2" t="s">
        <v>6</v>
      </c>
    </row>
    <row r="45" spans="1:13" x14ac:dyDescent="0.2">
      <c r="A45" s="1" t="s">
        <v>11</v>
      </c>
      <c r="B45" s="6">
        <v>38534</v>
      </c>
      <c r="C45" s="6">
        <v>38565</v>
      </c>
      <c r="D45" s="6">
        <v>38596</v>
      </c>
      <c r="E45" s="6">
        <v>38626</v>
      </c>
      <c r="F45" s="6">
        <v>38657</v>
      </c>
      <c r="G45" s="6">
        <v>38687</v>
      </c>
      <c r="H45" s="6">
        <v>38718</v>
      </c>
      <c r="I45" s="6">
        <v>38749</v>
      </c>
      <c r="J45" s="6">
        <v>38777</v>
      </c>
      <c r="K45" s="6">
        <v>38808</v>
      </c>
      <c r="L45" s="6">
        <v>38838</v>
      </c>
      <c r="M45" s="6">
        <v>38869</v>
      </c>
    </row>
    <row r="46" spans="1:13" x14ac:dyDescent="0.2">
      <c r="A46" s="1" t="s">
        <v>7</v>
      </c>
      <c r="B46" s="3">
        <v>6887.46</v>
      </c>
      <c r="C46" s="3">
        <v>-10048.450000000001</v>
      </c>
      <c r="D46" s="3">
        <v>-6924.72</v>
      </c>
      <c r="E46" s="3">
        <v>6548.92</v>
      </c>
      <c r="F46" s="3">
        <v>-2890.2</v>
      </c>
      <c r="G46" s="3">
        <v>1142.8900000000001</v>
      </c>
      <c r="H46" s="3">
        <f t="shared" ref="H46:M46" si="12">G49</f>
        <v>964.54999999999927</v>
      </c>
      <c r="I46" s="3">
        <f t="shared" si="12"/>
        <v>-775.20000000000073</v>
      </c>
      <c r="J46" s="3">
        <f t="shared" si="12"/>
        <v>3384.7599999999993</v>
      </c>
      <c r="K46" s="3">
        <f t="shared" si="12"/>
        <v>4408.1900000000005</v>
      </c>
      <c r="L46" s="3">
        <f t="shared" si="12"/>
        <v>5981</v>
      </c>
      <c r="M46" s="3">
        <f t="shared" si="12"/>
        <v>6012.76</v>
      </c>
    </row>
    <row r="47" spans="1:13" x14ac:dyDescent="0.2">
      <c r="A47" s="5" t="s">
        <v>8</v>
      </c>
      <c r="B47" s="3">
        <v>3925.27</v>
      </c>
      <c r="C47" s="3">
        <v>10050</v>
      </c>
      <c r="D47" s="3">
        <v>8064.18</v>
      </c>
      <c r="E47" s="3">
        <v>4763.3</v>
      </c>
      <c r="F47" s="3">
        <v>15405.64</v>
      </c>
      <c r="G47" s="3">
        <v>11242.21</v>
      </c>
      <c r="H47" s="3">
        <v>9394.4599999999991</v>
      </c>
      <c r="I47" s="3">
        <v>7452.05</v>
      </c>
      <c r="J47" s="3">
        <v>12301.31</v>
      </c>
      <c r="K47" s="3">
        <v>12367.1</v>
      </c>
      <c r="L47" s="3">
        <v>10709.25</v>
      </c>
      <c r="M47" s="3">
        <v>10323.41</v>
      </c>
    </row>
    <row r="48" spans="1:13" x14ac:dyDescent="0.2">
      <c r="A48" s="5" t="s">
        <v>9</v>
      </c>
      <c r="B48" s="3">
        <v>20861.18</v>
      </c>
      <c r="C48" s="3">
        <v>6926.27</v>
      </c>
      <c r="D48" s="3">
        <v>6865.42</v>
      </c>
      <c r="E48" s="3">
        <v>14202.42</v>
      </c>
      <c r="F48" s="3">
        <v>11372.55</v>
      </c>
      <c r="G48" s="3">
        <v>11420.55</v>
      </c>
      <c r="H48" s="3">
        <v>11134.21</v>
      </c>
      <c r="I48" s="3">
        <v>3292.09</v>
      </c>
      <c r="J48" s="3">
        <v>11277.88</v>
      </c>
      <c r="K48" s="3">
        <v>10794.29</v>
      </c>
      <c r="L48" s="3">
        <v>10677.49</v>
      </c>
      <c r="M48" s="3">
        <v>9869.68</v>
      </c>
    </row>
    <row r="49" spans="1:13" x14ac:dyDescent="0.2">
      <c r="A49" s="1" t="s">
        <v>10</v>
      </c>
      <c r="B49" s="3">
        <f t="shared" ref="B49:M49" si="13">SUM(B46+B47-B48)</f>
        <v>-10048.450000000001</v>
      </c>
      <c r="C49" s="3">
        <f t="shared" si="13"/>
        <v>-6924.7200000000012</v>
      </c>
      <c r="D49" s="3">
        <f t="shared" si="13"/>
        <v>-5725.96</v>
      </c>
      <c r="E49" s="3">
        <f t="shared" si="13"/>
        <v>-2890.1999999999989</v>
      </c>
      <c r="F49" s="3">
        <f t="shared" si="13"/>
        <v>1142.8899999999994</v>
      </c>
      <c r="G49" s="3">
        <f t="shared" si="13"/>
        <v>964.54999999999927</v>
      </c>
      <c r="H49" s="3">
        <f t="shared" si="13"/>
        <v>-775.20000000000073</v>
      </c>
      <c r="I49" s="3">
        <f t="shared" si="13"/>
        <v>3384.7599999999993</v>
      </c>
      <c r="J49" s="3">
        <f t="shared" si="13"/>
        <v>4408.1900000000005</v>
      </c>
      <c r="K49" s="3">
        <f t="shared" si="13"/>
        <v>5981</v>
      </c>
      <c r="L49" s="3">
        <f t="shared" si="13"/>
        <v>6012.76</v>
      </c>
      <c r="M49" s="3">
        <f t="shared" si="13"/>
        <v>6466.49</v>
      </c>
    </row>
    <row r="51" spans="1:13" x14ac:dyDescent="0.2">
      <c r="B51" s="2" t="s">
        <v>6</v>
      </c>
    </row>
    <row r="52" spans="1:13" x14ac:dyDescent="0.2">
      <c r="A52" s="1" t="s">
        <v>11</v>
      </c>
      <c r="B52" s="6">
        <v>38899</v>
      </c>
      <c r="C52" s="6">
        <v>38930</v>
      </c>
      <c r="D52" s="6">
        <v>38961</v>
      </c>
      <c r="E52" s="6">
        <v>38991</v>
      </c>
      <c r="F52" s="6">
        <v>39022</v>
      </c>
      <c r="G52" s="6">
        <v>39052</v>
      </c>
      <c r="H52" s="6">
        <v>39083</v>
      </c>
      <c r="I52" s="6">
        <v>39114</v>
      </c>
      <c r="J52" s="6">
        <v>39142</v>
      </c>
      <c r="K52" s="6">
        <v>39173</v>
      </c>
      <c r="L52" s="6">
        <v>39203</v>
      </c>
      <c r="M52" s="6">
        <v>39234</v>
      </c>
    </row>
    <row r="53" spans="1:13" x14ac:dyDescent="0.2">
      <c r="A53" s="1" t="s">
        <v>7</v>
      </c>
      <c r="B53" s="3">
        <v>6466.49</v>
      </c>
      <c r="C53" s="3">
        <v>2501.2399999999998</v>
      </c>
      <c r="D53" s="3">
        <v>-4380.8500000000004</v>
      </c>
      <c r="E53" s="3">
        <v>-235.91</v>
      </c>
      <c r="F53" s="3">
        <v>-8212.3799999999992</v>
      </c>
      <c r="G53" s="3">
        <f t="shared" ref="G53:M53" si="14">F56</f>
        <v>-849.57999999999811</v>
      </c>
      <c r="H53" s="3">
        <f t="shared" si="14"/>
        <v>1268.0800000000017</v>
      </c>
      <c r="I53" s="3">
        <f t="shared" si="14"/>
        <v>2078.6800000000021</v>
      </c>
      <c r="J53" s="3">
        <f t="shared" si="14"/>
        <v>6225.4800000000014</v>
      </c>
      <c r="K53" s="3">
        <f t="shared" si="14"/>
        <v>9288.010000000002</v>
      </c>
      <c r="L53" s="3">
        <f t="shared" si="14"/>
        <v>10003.100000000004</v>
      </c>
      <c r="M53" s="3">
        <f t="shared" si="14"/>
        <v>11260.820000000003</v>
      </c>
    </row>
    <row r="54" spans="1:13" x14ac:dyDescent="0.2">
      <c r="A54" s="5" t="s">
        <v>8</v>
      </c>
      <c r="B54" s="3">
        <v>4791.82</v>
      </c>
      <c r="C54" s="3">
        <v>0</v>
      </c>
      <c r="D54" s="3">
        <v>9696.9</v>
      </c>
      <c r="E54" s="3">
        <v>5328.35</v>
      </c>
      <c r="F54" s="3">
        <v>18340.18</v>
      </c>
      <c r="G54" s="3">
        <v>13848.22</v>
      </c>
      <c r="H54" s="3">
        <v>11391.25</v>
      </c>
      <c r="I54" s="3">
        <v>14377.29</v>
      </c>
      <c r="J54" s="3">
        <v>14085.6</v>
      </c>
      <c r="K54" s="3">
        <v>11973.47</v>
      </c>
      <c r="L54" s="3">
        <v>13164.65</v>
      </c>
      <c r="M54" s="3">
        <v>11460.65</v>
      </c>
    </row>
    <row r="55" spans="1:13" x14ac:dyDescent="0.2">
      <c r="A55" s="5" t="s">
        <v>9</v>
      </c>
      <c r="B55" s="3">
        <v>19991.91</v>
      </c>
      <c r="C55" s="3">
        <v>6882.09</v>
      </c>
      <c r="D55" s="3">
        <v>5551.96</v>
      </c>
      <c r="E55" s="3">
        <v>13304.82</v>
      </c>
      <c r="F55" s="3">
        <v>10977.38</v>
      </c>
      <c r="G55" s="3">
        <v>11730.56</v>
      </c>
      <c r="H55" s="3">
        <v>10580.65</v>
      </c>
      <c r="I55" s="3">
        <v>10230.49</v>
      </c>
      <c r="J55" s="3">
        <v>11023.07</v>
      </c>
      <c r="K55" s="3">
        <v>11258.38</v>
      </c>
      <c r="L55" s="3">
        <v>11906.93</v>
      </c>
      <c r="M55" s="3">
        <v>10986.04</v>
      </c>
    </row>
    <row r="56" spans="1:13" x14ac:dyDescent="0.2">
      <c r="A56" s="1" t="s">
        <v>10</v>
      </c>
      <c r="B56" s="3">
        <f t="shared" ref="B56:M56" si="15">SUM(B53+B54-B55)</f>
        <v>-8733.6</v>
      </c>
      <c r="C56" s="3">
        <f t="shared" si="15"/>
        <v>-4380.8500000000004</v>
      </c>
      <c r="D56" s="3">
        <f t="shared" si="15"/>
        <v>-235.91000000000076</v>
      </c>
      <c r="E56" s="3">
        <f t="shared" si="15"/>
        <v>-8212.3799999999992</v>
      </c>
      <c r="F56" s="3">
        <f t="shared" si="15"/>
        <v>-849.57999999999811</v>
      </c>
      <c r="G56" s="3">
        <f t="shared" si="15"/>
        <v>1268.0800000000017</v>
      </c>
      <c r="H56" s="3">
        <f t="shared" si="15"/>
        <v>2078.6800000000021</v>
      </c>
      <c r="I56" s="3">
        <f t="shared" si="15"/>
        <v>6225.4800000000014</v>
      </c>
      <c r="J56" s="3">
        <f t="shared" si="15"/>
        <v>9288.010000000002</v>
      </c>
      <c r="K56" s="3">
        <f t="shared" si="15"/>
        <v>10003.100000000004</v>
      </c>
      <c r="L56" s="3">
        <f t="shared" si="15"/>
        <v>11260.820000000003</v>
      </c>
      <c r="M56" s="3">
        <f t="shared" si="15"/>
        <v>11735.43</v>
      </c>
    </row>
    <row r="58" spans="1:13" x14ac:dyDescent="0.2">
      <c r="B58" s="2" t="s">
        <v>6</v>
      </c>
    </row>
    <row r="59" spans="1:13" x14ac:dyDescent="0.2">
      <c r="B59" s="6">
        <v>39264</v>
      </c>
      <c r="C59" s="6">
        <v>39295</v>
      </c>
      <c r="D59" s="6">
        <v>39326</v>
      </c>
      <c r="E59" s="6">
        <v>39356</v>
      </c>
      <c r="F59" s="6">
        <v>39387</v>
      </c>
      <c r="G59" s="6">
        <v>39417</v>
      </c>
      <c r="H59" s="6">
        <v>39448</v>
      </c>
      <c r="I59" s="6">
        <v>39479</v>
      </c>
      <c r="J59" s="6">
        <v>39508</v>
      </c>
      <c r="K59" s="6">
        <v>39539</v>
      </c>
      <c r="L59" s="6">
        <v>39569</v>
      </c>
      <c r="M59" s="6">
        <v>39600</v>
      </c>
    </row>
    <row r="60" spans="1:13" x14ac:dyDescent="0.2">
      <c r="A60" s="1" t="s">
        <v>7</v>
      </c>
      <c r="B60" s="3">
        <v>7949.93</v>
      </c>
      <c r="C60" s="3">
        <f t="shared" ref="C60:M60" si="16">B63</f>
        <v>1784.2300000000005</v>
      </c>
      <c r="D60" s="3">
        <f t="shared" si="16"/>
        <v>5068.5300000000007</v>
      </c>
      <c r="E60" s="3">
        <f t="shared" si="16"/>
        <v>-9957.24</v>
      </c>
      <c r="F60" s="3">
        <f t="shared" si="16"/>
        <v>2176</v>
      </c>
      <c r="G60" s="3">
        <f t="shared" si="16"/>
        <v>-7237.9600000000009</v>
      </c>
      <c r="H60" s="3">
        <f t="shared" si="16"/>
        <v>-5765.15</v>
      </c>
      <c r="I60" s="3">
        <f t="shared" si="16"/>
        <v>3311.6000000000004</v>
      </c>
      <c r="J60" s="3">
        <f t="shared" si="16"/>
        <v>5336.8000000000029</v>
      </c>
      <c r="K60" s="3">
        <f t="shared" si="16"/>
        <v>7386.8800000000028</v>
      </c>
      <c r="L60" s="3">
        <f t="shared" si="16"/>
        <v>7383.7300000000014</v>
      </c>
      <c r="M60" s="3">
        <f t="shared" si="16"/>
        <v>9701.08</v>
      </c>
    </row>
    <row r="61" spans="1:13" x14ac:dyDescent="0.2">
      <c r="A61" s="5" t="s">
        <v>8</v>
      </c>
      <c r="B61" s="3">
        <v>0</v>
      </c>
      <c r="C61" s="3">
        <v>-817.63</v>
      </c>
      <c r="D61" s="3">
        <v>9223.59</v>
      </c>
      <c r="E61" s="3">
        <v>20985.360000000001</v>
      </c>
      <c r="F61" s="3">
        <v>9858.65</v>
      </c>
      <c r="G61" s="3">
        <v>14612.86</v>
      </c>
      <c r="H61" s="3">
        <v>20781.66</v>
      </c>
      <c r="I61" s="3">
        <v>15736.2</v>
      </c>
      <c r="J61" s="3">
        <v>13752.43</v>
      </c>
      <c r="K61" s="3">
        <v>14002.91</v>
      </c>
      <c r="L61" s="3">
        <v>11019.95</v>
      </c>
      <c r="M61" s="3">
        <v>3958.18</v>
      </c>
    </row>
    <row r="62" spans="1:13" x14ac:dyDescent="0.2">
      <c r="A62" s="5" t="s">
        <v>9</v>
      </c>
      <c r="B62" s="3">
        <v>6165.7</v>
      </c>
      <c r="C62" s="3">
        <v>-4101.93</v>
      </c>
      <c r="D62" s="3">
        <v>24249.360000000001</v>
      </c>
      <c r="E62" s="3">
        <v>8852.1200000000008</v>
      </c>
      <c r="F62" s="3">
        <v>19272.61</v>
      </c>
      <c r="G62" s="3">
        <v>13140.05</v>
      </c>
      <c r="H62" s="3">
        <v>11704.91</v>
      </c>
      <c r="I62" s="3">
        <v>13711</v>
      </c>
      <c r="J62" s="3">
        <v>11702.35</v>
      </c>
      <c r="K62" s="3">
        <v>14006.06</v>
      </c>
      <c r="L62" s="3">
        <v>8702.6</v>
      </c>
      <c r="M62" s="3">
        <v>21172.2</v>
      </c>
    </row>
    <row r="63" spans="1:13" x14ac:dyDescent="0.2">
      <c r="A63" s="1" t="s">
        <v>10</v>
      </c>
      <c r="B63" s="3">
        <f t="shared" ref="B63:M63" si="17">SUM(B60+B61-B62)</f>
        <v>1784.2300000000005</v>
      </c>
      <c r="C63" s="3">
        <f t="shared" si="17"/>
        <v>5068.5300000000007</v>
      </c>
      <c r="D63" s="3">
        <f t="shared" si="17"/>
        <v>-9957.24</v>
      </c>
      <c r="E63" s="3">
        <f t="shared" si="17"/>
        <v>2176</v>
      </c>
      <c r="F63" s="3">
        <f t="shared" si="17"/>
        <v>-7237.9600000000009</v>
      </c>
      <c r="G63" s="3">
        <f t="shared" si="17"/>
        <v>-5765.15</v>
      </c>
      <c r="H63" s="3">
        <f t="shared" si="17"/>
        <v>3311.6000000000004</v>
      </c>
      <c r="I63" s="3">
        <f t="shared" si="17"/>
        <v>5336.8000000000029</v>
      </c>
      <c r="J63" s="3">
        <f t="shared" si="17"/>
        <v>7386.8800000000028</v>
      </c>
      <c r="K63" s="3">
        <f t="shared" si="17"/>
        <v>7383.7300000000014</v>
      </c>
      <c r="L63" s="3">
        <f t="shared" si="17"/>
        <v>9701.08</v>
      </c>
      <c r="M63" s="3">
        <f t="shared" si="17"/>
        <v>-7512.9400000000005</v>
      </c>
    </row>
    <row r="64" spans="1:13" x14ac:dyDescent="0.2">
      <c r="M64" s="3">
        <v>13159.3</v>
      </c>
    </row>
    <row r="65" spans="2:13" x14ac:dyDescent="0.2">
      <c r="B65" s="3" t="s">
        <v>11</v>
      </c>
      <c r="C65" s="3" t="s">
        <v>11</v>
      </c>
      <c r="F65" s="3" t="s">
        <v>11</v>
      </c>
      <c r="G65" t="s">
        <v>11</v>
      </c>
      <c r="I65" t="s">
        <v>11</v>
      </c>
      <c r="M65" s="3">
        <f>SUM(M63:M64)</f>
        <v>5646.3599999999988</v>
      </c>
    </row>
    <row r="66" spans="2:13" x14ac:dyDescent="0.2">
      <c r="B66" s="3" t="s">
        <v>11</v>
      </c>
      <c r="C66" s="3" t="s">
        <v>11</v>
      </c>
      <c r="F66" s="3" t="s">
        <v>11</v>
      </c>
      <c r="G66" s="3" t="s">
        <v>11</v>
      </c>
      <c r="I66" s="3" t="s">
        <v>11</v>
      </c>
    </row>
    <row r="67" spans="2:13" x14ac:dyDescent="0.2">
      <c r="B67" s="3" t="s">
        <v>11</v>
      </c>
      <c r="F67" s="3" t="s">
        <v>11</v>
      </c>
    </row>
    <row r="68" spans="2:13" x14ac:dyDescent="0.2">
      <c r="B68" s="3" t="s">
        <v>11</v>
      </c>
      <c r="F68" t="s">
        <v>11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9" sqref="R39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opLeftCell="A31" zoomScaleNormal="100" workbookViewId="0">
      <selection activeCell="B70" sqref="B70"/>
    </sheetView>
  </sheetViews>
  <sheetFormatPr defaultRowHeight="12.75" x14ac:dyDescent="0.2"/>
  <cols>
    <col min="1" max="1" width="25.140625" customWidth="1"/>
    <col min="2" max="2" width="13.7109375" customWidth="1"/>
    <col min="3" max="3" width="1.42578125" customWidth="1"/>
    <col min="4" max="4" width="15.42578125" customWidth="1"/>
    <col min="5" max="5" width="1.28515625" customWidth="1"/>
    <col min="6" max="6" width="14.28515625" customWidth="1"/>
    <col min="7" max="7" width="1.85546875" customWidth="1"/>
    <col min="8" max="8" width="12.42578125" customWidth="1"/>
    <col min="9" max="9" width="1.42578125" customWidth="1"/>
    <col min="10" max="10" width="13.140625" customWidth="1"/>
    <col min="11" max="11" width="1" customWidth="1"/>
    <col min="12" max="12" width="14.140625" customWidth="1"/>
    <col min="13" max="13" width="1" customWidth="1"/>
    <col min="14" max="14" width="13.5703125" customWidth="1"/>
    <col min="15" max="15" width="11.42578125" customWidth="1"/>
    <col min="16" max="16" width="5.28515625" customWidth="1"/>
    <col min="17" max="17" width="9.140625" customWidth="1"/>
    <col min="18" max="18" width="11.85546875" customWidth="1"/>
    <col min="19" max="19" width="9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42552</v>
      </c>
    </row>
    <row r="3" spans="1:20" x14ac:dyDescent="0.2">
      <c r="A3" s="1" t="s">
        <v>7</v>
      </c>
      <c r="B3" s="3">
        <v>629041.68999999994</v>
      </c>
      <c r="C3" s="3"/>
      <c r="D3" s="3">
        <v>566199.80000000005</v>
      </c>
      <c r="E3" s="3"/>
      <c r="F3" s="3">
        <v>132030.32</v>
      </c>
      <c r="G3" s="3"/>
      <c r="H3" s="3">
        <v>126854.72</v>
      </c>
      <c r="I3" s="3"/>
      <c r="J3" s="3">
        <v>145054.04</v>
      </c>
      <c r="K3" s="3"/>
      <c r="L3" s="3">
        <v>27601.7</v>
      </c>
      <c r="N3" s="3">
        <v>5308.77</v>
      </c>
      <c r="O3" s="14">
        <f>SUM(B6/(SUM(B6:J6)))</f>
        <v>0.45572159460811146</v>
      </c>
      <c r="P3" s="1" t="s">
        <v>16</v>
      </c>
      <c r="Q3">
        <v>104.9</v>
      </c>
      <c r="R3" s="3">
        <f>SUM(O3*Q3)</f>
        <v>47.805195274390897</v>
      </c>
      <c r="S3">
        <v>258.04000000000002</v>
      </c>
      <c r="T3" s="3">
        <f>SUM(S3*0.34)</f>
        <v>87.73360000000001</v>
      </c>
    </row>
    <row r="4" spans="1:20" x14ac:dyDescent="0.2">
      <c r="A4" s="5" t="s">
        <v>8</v>
      </c>
      <c r="B4" s="3">
        <v>84478.55</v>
      </c>
      <c r="C4" s="3"/>
      <c r="D4" s="3">
        <v>11533.87</v>
      </c>
      <c r="E4" s="3"/>
      <c r="F4" s="3">
        <v>2078.7399999999998</v>
      </c>
      <c r="G4" s="3"/>
      <c r="H4" s="3">
        <v>438.33</v>
      </c>
      <c r="I4" s="3"/>
      <c r="J4" s="3">
        <v>0</v>
      </c>
      <c r="K4" s="3"/>
      <c r="L4" s="3">
        <v>69.599999999999994</v>
      </c>
      <c r="N4" s="3">
        <v>230</v>
      </c>
      <c r="O4" s="14">
        <f>SUM(D6/(SUM(B6:J6)))</f>
        <v>0.30054736515765068</v>
      </c>
      <c r="P4" s="1" t="s">
        <v>17</v>
      </c>
      <c r="Q4">
        <v>104.9</v>
      </c>
      <c r="R4" s="3">
        <f t="shared" ref="R4:R64" si="0">SUM(O4*Q4)</f>
        <v>31.527418605037557</v>
      </c>
      <c r="S4">
        <v>258.04000000000002</v>
      </c>
      <c r="T4" s="3">
        <f>SUM(S4*0.63)</f>
        <v>162.5652</v>
      </c>
    </row>
    <row r="5" spans="1:20" x14ac:dyDescent="0.2">
      <c r="A5" s="5" t="s">
        <v>9</v>
      </c>
      <c r="B5" s="3">
        <v>194565.67</v>
      </c>
      <c r="C5" s="3"/>
      <c r="D5" s="3">
        <v>235484.3</v>
      </c>
      <c r="E5" s="3"/>
      <c r="F5" s="3">
        <v>30576.57</v>
      </c>
      <c r="G5" s="3"/>
      <c r="H5" s="3">
        <v>17400</v>
      </c>
      <c r="I5" s="3"/>
      <c r="J5" s="3">
        <v>80930</v>
      </c>
      <c r="K5" s="3"/>
      <c r="L5" s="3">
        <v>6179.9</v>
      </c>
      <c r="N5" s="3">
        <v>2742.49</v>
      </c>
      <c r="O5" s="14">
        <f>SUM(F6/(SUM(B6:J6)))</f>
        <v>9.0917383069867477E-2</v>
      </c>
      <c r="P5" s="1" t="s">
        <v>18</v>
      </c>
      <c r="Q5">
        <v>104.9</v>
      </c>
      <c r="R5" s="3">
        <f t="shared" si="0"/>
        <v>9.5372334840290982</v>
      </c>
      <c r="S5" t="s">
        <v>11</v>
      </c>
    </row>
    <row r="6" spans="1:20" x14ac:dyDescent="0.2">
      <c r="A6" s="1" t="s">
        <v>10</v>
      </c>
      <c r="B6" s="3">
        <f>SUM(B3+B4-B5)</f>
        <v>518954.56999999995</v>
      </c>
      <c r="C6" s="3"/>
      <c r="D6" s="3">
        <f>SUM(D3+D4-D5)</f>
        <v>342249.37000000005</v>
      </c>
      <c r="E6" s="3"/>
      <c r="F6" s="3">
        <f>SUM(F3+F4-F5)</f>
        <v>103532.48999999999</v>
      </c>
      <c r="G6" s="3"/>
      <c r="H6" s="3">
        <f>SUM(H3+H4-H5)</f>
        <v>109893.05</v>
      </c>
      <c r="I6" s="3"/>
      <c r="J6" s="3">
        <f>SUM(J3+J4-J5)</f>
        <v>64124.040000000008</v>
      </c>
      <c r="K6" s="3"/>
      <c r="L6" s="3">
        <f>SUM(L3+L4-L5)</f>
        <v>21491.4</v>
      </c>
      <c r="N6" s="3">
        <f>SUM(N3+N4-N5)</f>
        <v>2796.2800000000007</v>
      </c>
      <c r="O6" s="14">
        <f>SUM(H6/(SUM(B6:J6)))</f>
        <v>9.6502928921791617E-2</v>
      </c>
      <c r="P6" s="1" t="s">
        <v>19</v>
      </c>
      <c r="Q6">
        <v>104.9</v>
      </c>
      <c r="R6" s="3">
        <f t="shared" si="0"/>
        <v>10.123157243895941</v>
      </c>
      <c r="S6" t="s">
        <v>11</v>
      </c>
    </row>
    <row r="7" spans="1:20" x14ac:dyDescent="0.2">
      <c r="A7" s="4">
        <v>42583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5.6310728242578788E-2</v>
      </c>
      <c r="P7" s="1" t="s">
        <v>20</v>
      </c>
      <c r="Q7">
        <v>104.9</v>
      </c>
      <c r="R7" s="3">
        <f t="shared" si="0"/>
        <v>5.9069953926465155</v>
      </c>
      <c r="S7">
        <v>258.04000000000002</v>
      </c>
      <c r="T7" s="3">
        <f>SUM(S7*0.03)</f>
        <v>7.7412000000000001</v>
      </c>
    </row>
    <row r="8" spans="1:20" x14ac:dyDescent="0.2">
      <c r="A8" s="1" t="s">
        <v>7</v>
      </c>
      <c r="B8" s="3">
        <v>518954.57</v>
      </c>
      <c r="C8" s="3"/>
      <c r="D8" s="3">
        <v>342249.37</v>
      </c>
      <c r="E8" s="3"/>
      <c r="F8" s="3">
        <v>103532.49</v>
      </c>
      <c r="G8" s="3"/>
      <c r="H8" s="3">
        <v>109893.05</v>
      </c>
      <c r="I8" s="3"/>
      <c r="J8" s="3">
        <v>64124.04</v>
      </c>
      <c r="K8" s="3"/>
      <c r="L8" s="3">
        <v>21491.4</v>
      </c>
      <c r="N8" s="3">
        <v>2796.28</v>
      </c>
      <c r="O8" s="14">
        <f>SUM(B11/(SUM(B11:J11)))</f>
        <v>0.42497003080289292</v>
      </c>
      <c r="P8" s="1" t="s">
        <v>16</v>
      </c>
      <c r="Q8">
        <v>77.27</v>
      </c>
      <c r="R8" s="3">
        <f t="shared" si="0"/>
        <v>32.837434280139533</v>
      </c>
      <c r="S8">
        <v>39.89</v>
      </c>
      <c r="T8" s="3">
        <f>SUM(S8*0.34)</f>
        <v>13.562600000000002</v>
      </c>
    </row>
    <row r="9" spans="1:20" x14ac:dyDescent="0.2">
      <c r="A9" s="5" t="s">
        <v>8</v>
      </c>
      <c r="B9" s="3">
        <v>87022.53</v>
      </c>
      <c r="C9" s="3"/>
      <c r="D9" s="3">
        <v>2474.77</v>
      </c>
      <c r="E9" s="3"/>
      <c r="F9" s="3">
        <v>1299.74</v>
      </c>
      <c r="G9" s="3"/>
      <c r="H9" s="3">
        <v>247.48</v>
      </c>
      <c r="I9" s="3"/>
      <c r="J9" s="3">
        <v>0</v>
      </c>
      <c r="K9" s="3"/>
      <c r="L9" s="3">
        <v>5569.86</v>
      </c>
      <c r="N9" s="3">
        <v>0</v>
      </c>
      <c r="O9" s="14">
        <f>SUM(D11/(SUM(B11:J11)))</f>
        <v>0.29635050418441994</v>
      </c>
      <c r="P9" s="1" t="s">
        <v>17</v>
      </c>
      <c r="Q9">
        <v>77.27</v>
      </c>
      <c r="R9" s="3">
        <f t="shared" si="0"/>
        <v>22.899003458330128</v>
      </c>
      <c r="S9">
        <v>39.89</v>
      </c>
      <c r="T9" s="3">
        <f>SUM(S9*0.63)</f>
        <v>25.130700000000001</v>
      </c>
    </row>
    <row r="10" spans="1:20" x14ac:dyDescent="0.2">
      <c r="A10" s="5" t="s">
        <v>9</v>
      </c>
      <c r="B10" s="3">
        <v>221274.62</v>
      </c>
      <c r="C10" s="3"/>
      <c r="D10" s="3">
        <v>76453.990000000005</v>
      </c>
      <c r="E10" s="3"/>
      <c r="F10" s="3">
        <v>26823.29</v>
      </c>
      <c r="G10" s="3"/>
      <c r="H10" s="3">
        <v>0</v>
      </c>
      <c r="I10" s="3"/>
      <c r="J10" s="3">
        <v>0</v>
      </c>
      <c r="K10" s="3"/>
      <c r="L10" s="3">
        <v>10519.2</v>
      </c>
      <c r="N10" s="3">
        <v>1704.75</v>
      </c>
      <c r="O10" s="14">
        <f>SUM(F11/(SUM(B11:J11)))</f>
        <v>8.6174286255448707E-2</v>
      </c>
      <c r="P10" s="1" t="s">
        <v>18</v>
      </c>
      <c r="Q10">
        <v>77.27</v>
      </c>
      <c r="R10" s="3">
        <f t="shared" si="0"/>
        <v>6.658687098958521</v>
      </c>
    </row>
    <row r="11" spans="1:20" x14ac:dyDescent="0.2">
      <c r="A11" s="1" t="s">
        <v>10</v>
      </c>
      <c r="B11" s="3">
        <f>SUM(B8+B9-B10)</f>
        <v>384702.48</v>
      </c>
      <c r="C11" s="3"/>
      <c r="D11" s="3">
        <f>SUM(D8+D9-D10)</f>
        <v>268270.15000000002</v>
      </c>
      <c r="E11" s="3"/>
      <c r="F11" s="3">
        <f>SUM(F8+F9-F10)</f>
        <v>78008.94</v>
      </c>
      <c r="G11" s="3"/>
      <c r="H11" s="3">
        <f>SUM(H8+H9-H10)</f>
        <v>110140.53</v>
      </c>
      <c r="I11" s="3"/>
      <c r="J11" s="3">
        <f>SUM(J8+J9-J10)</f>
        <v>64124.04</v>
      </c>
      <c r="K11" s="3"/>
      <c r="L11" s="3">
        <f>SUM(L8+L9-L10)</f>
        <v>16542.060000000001</v>
      </c>
      <c r="N11" s="3">
        <f>SUM(N8+N9-N10)</f>
        <v>1091.5300000000002</v>
      </c>
      <c r="O11" s="14">
        <f>SUM(H11/(SUM(B11:J11)))</f>
        <v>0.12166915177346128</v>
      </c>
      <c r="P11" s="1" t="s">
        <v>19</v>
      </c>
      <c r="Q11">
        <v>77.27</v>
      </c>
      <c r="R11" s="3">
        <f t="shared" si="0"/>
        <v>9.4013753575353523</v>
      </c>
    </row>
    <row r="12" spans="1:20" x14ac:dyDescent="0.2">
      <c r="A12" s="4">
        <v>42614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7.0836026983777028E-2</v>
      </c>
      <c r="P12" s="1" t="s">
        <v>20</v>
      </c>
      <c r="Q12">
        <v>77.27</v>
      </c>
      <c r="R12" s="3">
        <f t="shared" si="0"/>
        <v>5.4734998050364503</v>
      </c>
      <c r="S12">
        <v>39.89</v>
      </c>
      <c r="T12" s="3">
        <f>SUM(S12*0.03)</f>
        <v>1.1966999999999999</v>
      </c>
    </row>
    <row r="13" spans="1:20" x14ac:dyDescent="0.2">
      <c r="A13" s="1" t="s">
        <v>7</v>
      </c>
      <c r="B13" s="3">
        <v>384702.48</v>
      </c>
      <c r="C13" s="3"/>
      <c r="D13" s="3">
        <v>268270.15000000002</v>
      </c>
      <c r="E13" s="3"/>
      <c r="F13" s="3">
        <v>78008.94</v>
      </c>
      <c r="G13" s="3"/>
      <c r="H13" s="3">
        <v>110140.53</v>
      </c>
      <c r="I13" s="3"/>
      <c r="J13" s="3">
        <v>64124.04</v>
      </c>
      <c r="K13" s="3"/>
      <c r="L13" s="3">
        <v>16542.060000000001</v>
      </c>
      <c r="N13" s="3">
        <v>1091.53</v>
      </c>
      <c r="O13" s="14">
        <f>SUM(B16/(SUM(B16:J16)))</f>
        <v>0.38571278963752703</v>
      </c>
      <c r="P13" s="1" t="s">
        <v>16</v>
      </c>
      <c r="Q13">
        <v>57.4</v>
      </c>
      <c r="R13" s="3">
        <f t="shared" si="0"/>
        <v>22.13991412519405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153773.99</v>
      </c>
      <c r="C14" s="3"/>
      <c r="D14" s="3">
        <v>1603</v>
      </c>
      <c r="E14" s="3"/>
      <c r="F14" s="3">
        <v>940.24</v>
      </c>
      <c r="G14" s="3"/>
      <c r="H14" s="3">
        <v>160.30000000000001</v>
      </c>
      <c r="I14" s="3"/>
      <c r="J14" s="3">
        <v>7.29</v>
      </c>
      <c r="K14" s="3"/>
      <c r="L14" s="3">
        <v>15837.22</v>
      </c>
      <c r="N14" s="3">
        <v>0</v>
      </c>
      <c r="O14" s="14">
        <f>SUM(D16/(SUM(B16:J16)))</f>
        <v>0.33637919466188082</v>
      </c>
      <c r="P14" s="1" t="s">
        <v>17</v>
      </c>
      <c r="Q14">
        <v>57.4</v>
      </c>
      <c r="R14" s="3">
        <f t="shared" si="0"/>
        <v>19.308165773591959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237936.47</v>
      </c>
      <c r="C15" s="3"/>
      <c r="D15" s="3">
        <v>7772.94</v>
      </c>
      <c r="E15" s="3"/>
      <c r="F15" s="3">
        <v>36840.75</v>
      </c>
      <c r="G15" s="3"/>
      <c r="H15" s="3">
        <v>0</v>
      </c>
      <c r="I15" s="3"/>
      <c r="J15" s="3">
        <v>0</v>
      </c>
      <c r="K15" s="3"/>
      <c r="L15" s="3">
        <v>16139.29</v>
      </c>
      <c r="N15" s="3">
        <v>0</v>
      </c>
      <c r="O15" s="14">
        <f>SUM(F16/(SUM(B16:J16)))</f>
        <v>5.4041924544341972E-2</v>
      </c>
      <c r="P15" s="1" t="s">
        <v>18</v>
      </c>
      <c r="Q15">
        <v>57.4</v>
      </c>
      <c r="R15" s="3">
        <f t="shared" si="0"/>
        <v>3.1020064688452291</v>
      </c>
    </row>
    <row r="16" spans="1:20" x14ac:dyDescent="0.2">
      <c r="A16" s="1" t="s">
        <v>10</v>
      </c>
      <c r="B16" s="3">
        <f>SUM(B13+B14-B15)</f>
        <v>300540</v>
      </c>
      <c r="C16" s="3"/>
      <c r="D16" s="3">
        <f>SUM(D13+D14-D15)</f>
        <v>262100.21000000002</v>
      </c>
      <c r="E16" s="3"/>
      <c r="F16" s="3">
        <f>SUM(F13+F14-F15)</f>
        <v>42108.430000000008</v>
      </c>
      <c r="G16" s="3"/>
      <c r="H16" s="3">
        <f>SUM(H13+H14-H15)</f>
        <v>110300.83</v>
      </c>
      <c r="I16" s="3"/>
      <c r="J16" s="3">
        <f>SUM(J13+J14-J15)</f>
        <v>64131.33</v>
      </c>
      <c r="K16" s="3"/>
      <c r="L16" s="3">
        <f>SUM(L13+L14-L15)</f>
        <v>16239.989999999998</v>
      </c>
      <c r="N16" s="3">
        <f>SUM(N13+N14-N15)</f>
        <v>1091.53</v>
      </c>
      <c r="O16" s="14">
        <f>SUM(H16/(SUM(B16:J16)))</f>
        <v>0.14155999480480014</v>
      </c>
      <c r="P16" s="1" t="s">
        <v>19</v>
      </c>
      <c r="Q16">
        <v>57.4</v>
      </c>
      <c r="R16" s="3">
        <f t="shared" si="0"/>
        <v>8.125543701795527</v>
      </c>
    </row>
    <row r="17" spans="1:20" x14ac:dyDescent="0.2">
      <c r="A17" s="4">
        <v>42644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8.2306096351450142E-2</v>
      </c>
      <c r="P17" s="1" t="s">
        <v>20</v>
      </c>
      <c r="Q17">
        <v>57.4</v>
      </c>
      <c r="R17" s="3">
        <f t="shared" si="0"/>
        <v>4.7243699305732383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300540</v>
      </c>
      <c r="C18" s="3"/>
      <c r="D18" s="3">
        <v>262100.21</v>
      </c>
      <c r="E18" s="3"/>
      <c r="F18" s="3">
        <v>42108.43</v>
      </c>
      <c r="G18" s="3"/>
      <c r="H18" s="3">
        <v>110300.83</v>
      </c>
      <c r="I18" s="3"/>
      <c r="J18" s="3">
        <v>64131.33</v>
      </c>
      <c r="K18" s="3"/>
      <c r="L18" s="3">
        <v>16239.99</v>
      </c>
      <c r="N18" s="3">
        <v>1091.53</v>
      </c>
      <c r="O18" s="14">
        <f>SUM(B21/(SUM(B21:J21)))</f>
        <v>0.18824571439753587</v>
      </c>
      <c r="P18" s="1" t="s">
        <v>16</v>
      </c>
      <c r="Q18">
        <v>45.1</v>
      </c>
      <c r="R18" s="3">
        <f t="shared" si="0"/>
        <v>8.4898817193288689</v>
      </c>
      <c r="S18">
        <v>30.08</v>
      </c>
      <c r="T18" s="3">
        <f>SUM(S18*0.34)</f>
        <v>10.2272</v>
      </c>
    </row>
    <row r="19" spans="1:20" x14ac:dyDescent="0.2">
      <c r="A19" s="5" t="s">
        <v>8</v>
      </c>
      <c r="B19" s="3">
        <v>40916.82</v>
      </c>
      <c r="C19" s="3"/>
      <c r="D19" s="3">
        <v>7135.46</v>
      </c>
      <c r="E19" s="3"/>
      <c r="F19" s="3">
        <v>3440.49</v>
      </c>
      <c r="G19" s="3"/>
      <c r="H19" s="3">
        <v>713.55</v>
      </c>
      <c r="I19" s="3"/>
      <c r="J19" s="3">
        <v>0</v>
      </c>
      <c r="K19" s="3"/>
      <c r="L19" s="3">
        <v>21749.35</v>
      </c>
      <c r="N19" s="3">
        <v>0</v>
      </c>
      <c r="O19" s="14">
        <f>SUM(D21/(SUM(B21:J21)))</f>
        <v>0.48914855946812641</v>
      </c>
      <c r="P19" s="1" t="s">
        <v>17</v>
      </c>
      <c r="Q19">
        <v>45.1</v>
      </c>
      <c r="R19" s="3">
        <f t="shared" si="0"/>
        <v>22.060600032012502</v>
      </c>
      <c r="S19">
        <v>30.08</v>
      </c>
      <c r="T19" s="3">
        <f>SUM(S19*0.63)</f>
        <v>18.950399999999998</v>
      </c>
    </row>
    <row r="20" spans="1:20" x14ac:dyDescent="0.2">
      <c r="A20" s="5" t="s">
        <v>9</v>
      </c>
      <c r="B20" s="3">
        <v>240161.37</v>
      </c>
      <c r="C20" s="3"/>
      <c r="D20" s="3">
        <v>6023.71</v>
      </c>
      <c r="E20" s="3"/>
      <c r="F20" s="3">
        <v>47099.75</v>
      </c>
      <c r="G20" s="3"/>
      <c r="H20" s="3">
        <v>0</v>
      </c>
      <c r="I20" s="3"/>
      <c r="J20" s="3">
        <v>0</v>
      </c>
      <c r="K20" s="3"/>
      <c r="L20" s="3">
        <v>17320.97</v>
      </c>
      <c r="N20" s="3">
        <v>0</v>
      </c>
      <c r="O20" s="14">
        <f>SUM(F21/(SUM(B21:J21)))</f>
        <v>-2.8820356813571671E-3</v>
      </c>
      <c r="P20" s="1" t="s">
        <v>18</v>
      </c>
      <c r="Q20">
        <v>45.1</v>
      </c>
      <c r="R20" s="3">
        <f t="shared" si="0"/>
        <v>-0.12997980922920824</v>
      </c>
    </row>
    <row r="21" spans="1:20" x14ac:dyDescent="0.2">
      <c r="A21" s="1" t="s">
        <v>10</v>
      </c>
      <c r="B21" s="3">
        <f>SUM(B18+B19-B20)</f>
        <v>101295.45000000001</v>
      </c>
      <c r="C21" s="3"/>
      <c r="D21" s="3">
        <f>SUM(D18+D19-D20)</f>
        <v>263211.95999999996</v>
      </c>
      <c r="E21" s="3"/>
      <c r="F21" s="3">
        <f>SUM(F18+F19-F20)</f>
        <v>-1550.8300000000017</v>
      </c>
      <c r="G21" s="3"/>
      <c r="H21" s="3">
        <f>SUM(H18+H19-H20)</f>
        <v>111014.38</v>
      </c>
      <c r="I21" s="3"/>
      <c r="J21" s="3">
        <f>SUM(J18+J19-J20)</f>
        <v>64131.33</v>
      </c>
      <c r="K21" s="3"/>
      <c r="L21" s="3">
        <f>SUM(L18+L19-L20)</f>
        <v>20668.369999999995</v>
      </c>
      <c r="N21" s="3">
        <f>SUM(N18+N19-N20)</f>
        <v>1091.53</v>
      </c>
      <c r="O21" s="14">
        <f>SUM(H21/(SUM(B21:J21)))</f>
        <v>0.20630720601467803</v>
      </c>
      <c r="P21" s="1" t="s">
        <v>19</v>
      </c>
      <c r="Q21">
        <v>45.1</v>
      </c>
      <c r="R21" s="3">
        <f t="shared" si="0"/>
        <v>9.3044549912619789</v>
      </c>
    </row>
    <row r="22" spans="1:20" x14ac:dyDescent="0.2">
      <c r="A22" s="4">
        <v>42675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0.11918055580101695</v>
      </c>
      <c r="P22" s="1" t="s">
        <v>20</v>
      </c>
      <c r="Q22">
        <v>45.1</v>
      </c>
      <c r="R22" s="3">
        <f t="shared" si="0"/>
        <v>5.3750430666258646</v>
      </c>
      <c r="S22">
        <v>30.08</v>
      </c>
      <c r="T22" s="3">
        <f>SUM(S22*0.03)</f>
        <v>0.90239999999999987</v>
      </c>
    </row>
    <row r="23" spans="1:20" x14ac:dyDescent="0.2">
      <c r="A23" s="1" t="s">
        <v>7</v>
      </c>
      <c r="B23" s="3">
        <v>101295.45</v>
      </c>
      <c r="C23" s="3"/>
      <c r="D23" s="3">
        <v>263211.96000000002</v>
      </c>
      <c r="E23" s="3"/>
      <c r="F23" s="3">
        <v>-1550.83</v>
      </c>
      <c r="G23" s="3"/>
      <c r="H23" s="3">
        <v>111014.38</v>
      </c>
      <c r="I23" s="3"/>
      <c r="J23" s="3">
        <v>64131.33</v>
      </c>
      <c r="K23" s="3"/>
      <c r="L23" s="3">
        <v>20668.37</v>
      </c>
      <c r="N23" s="3">
        <v>1091.53</v>
      </c>
      <c r="O23" s="14">
        <f>SUM(B26/(SUM(B26:J26)))</f>
        <v>0.17357628658628194</v>
      </c>
      <c r="P23" s="1" t="s">
        <v>16</v>
      </c>
      <c r="Q23">
        <v>49.1</v>
      </c>
      <c r="R23" s="3">
        <f t="shared" si="0"/>
        <v>8.5225956713864441</v>
      </c>
      <c r="S23">
        <v>113.42</v>
      </c>
      <c r="T23" s="3">
        <f>SUM(S23*0.34)</f>
        <v>38.562800000000003</v>
      </c>
    </row>
    <row r="24" spans="1:20" x14ac:dyDescent="0.2">
      <c r="A24" s="5" t="s">
        <v>8</v>
      </c>
      <c r="B24" s="3">
        <v>348276.98</v>
      </c>
      <c r="C24" s="3"/>
      <c r="D24" s="3">
        <v>285501.86</v>
      </c>
      <c r="E24" s="3"/>
      <c r="F24" s="3">
        <v>136020.21</v>
      </c>
      <c r="G24" s="3"/>
      <c r="H24" s="3">
        <v>28550.2</v>
      </c>
      <c r="I24" s="3"/>
      <c r="J24" s="3">
        <v>0</v>
      </c>
      <c r="K24" s="3"/>
      <c r="L24" s="3">
        <v>21124.94</v>
      </c>
      <c r="N24" s="3">
        <v>0</v>
      </c>
      <c r="O24" s="14">
        <f>SUM(D26/(SUM(B26:J26)))</f>
        <v>0.51859355371612181</v>
      </c>
      <c r="P24" s="1" t="s">
        <v>17</v>
      </c>
      <c r="Q24">
        <v>49.1</v>
      </c>
      <c r="R24" s="3">
        <f t="shared" si="0"/>
        <v>25.462943487461583</v>
      </c>
      <c r="S24">
        <v>113.42</v>
      </c>
      <c r="T24" s="3">
        <f>SUM(S24*0.63)</f>
        <v>71.454599999999999</v>
      </c>
    </row>
    <row r="25" spans="1:20" x14ac:dyDescent="0.2">
      <c r="A25" s="5" t="s">
        <v>9</v>
      </c>
      <c r="B25" s="3">
        <v>279005.13</v>
      </c>
      <c r="C25" s="3"/>
      <c r="D25" s="3">
        <v>39110.21</v>
      </c>
      <c r="E25" s="3"/>
      <c r="F25" s="3">
        <v>35671.440000000002</v>
      </c>
      <c r="G25" s="3"/>
      <c r="H25" s="3">
        <v>0</v>
      </c>
      <c r="I25" s="3"/>
      <c r="J25" s="3">
        <v>0</v>
      </c>
      <c r="K25" s="3"/>
      <c r="L25" s="3">
        <v>15393.37</v>
      </c>
      <c r="N25" s="3">
        <v>0</v>
      </c>
      <c r="O25" s="14">
        <f>SUM(F26/(SUM(B26:J26)))</f>
        <v>0.10054083958398996</v>
      </c>
      <c r="P25" s="1" t="s">
        <v>18</v>
      </c>
      <c r="Q25">
        <v>49.1</v>
      </c>
      <c r="R25" s="3">
        <f t="shared" si="0"/>
        <v>4.9365552235739072</v>
      </c>
    </row>
    <row r="26" spans="1:20" x14ac:dyDescent="0.2">
      <c r="A26" s="1" t="s">
        <v>10</v>
      </c>
      <c r="B26" s="3">
        <f>SUM(B23+B24-B25)</f>
        <v>170567.3</v>
      </c>
      <c r="C26" s="3"/>
      <c r="D26" s="3">
        <f>SUM(D23+D24-D25)</f>
        <v>509603.61000000004</v>
      </c>
      <c r="E26" s="3"/>
      <c r="F26" s="3">
        <f>SUM(F23+F24-F25)</f>
        <v>98797.94</v>
      </c>
      <c r="G26" s="3"/>
      <c r="H26" s="3">
        <f>SUM(H23+H24-H25)</f>
        <v>139564.58000000002</v>
      </c>
      <c r="I26" s="3"/>
      <c r="J26" s="3">
        <f>SUM(J23+J24-J25)</f>
        <v>64131.33</v>
      </c>
      <c r="K26" s="3"/>
      <c r="L26" s="3">
        <f>SUM(L23+L24-L25)</f>
        <v>26399.939999999995</v>
      </c>
      <c r="N26" s="3">
        <f>SUM(N23+N24-N25)</f>
        <v>1091.53</v>
      </c>
      <c r="O26" s="14">
        <f>SUM(H26/(SUM(B26:J26)))</f>
        <v>0.1420266459947134</v>
      </c>
      <c r="P26" s="1" t="s">
        <v>19</v>
      </c>
      <c r="Q26">
        <v>49.1</v>
      </c>
      <c r="R26" s="3">
        <f t="shared" si="0"/>
        <v>6.9735083183404285</v>
      </c>
    </row>
    <row r="27" spans="1:20" x14ac:dyDescent="0.2">
      <c r="A27" s="4">
        <v>42705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6.5262674118892791E-2</v>
      </c>
      <c r="P27" s="1" t="s">
        <v>20</v>
      </c>
      <c r="Q27">
        <v>49.1</v>
      </c>
      <c r="R27" s="3">
        <f t="shared" si="0"/>
        <v>3.2043972992376362</v>
      </c>
      <c r="S27">
        <v>113.42</v>
      </c>
      <c r="T27" s="3">
        <f>SUM(S27*0.03)</f>
        <v>3.4026000000000001</v>
      </c>
    </row>
    <row r="28" spans="1:20" x14ac:dyDescent="0.2">
      <c r="A28" s="1" t="s">
        <v>7</v>
      </c>
      <c r="B28" s="3">
        <v>170567.3</v>
      </c>
      <c r="C28" s="3"/>
      <c r="D28" s="3">
        <v>509603.61</v>
      </c>
      <c r="E28" s="3"/>
      <c r="F28" s="3">
        <v>98797.94</v>
      </c>
      <c r="G28" s="3"/>
      <c r="H28" s="3">
        <v>139564.57999999999</v>
      </c>
      <c r="I28" s="3"/>
      <c r="J28" s="3">
        <v>64131.33</v>
      </c>
      <c r="K28" s="3"/>
      <c r="L28" s="3">
        <v>26399.96</v>
      </c>
      <c r="N28" s="3">
        <v>1091.53</v>
      </c>
      <c r="O28" s="14">
        <f>SUM(B31/(SUM(B31:J31)))</f>
        <v>0.32800266950259938</v>
      </c>
      <c r="P28" s="1" t="s">
        <v>16</v>
      </c>
      <c r="Q28">
        <v>82.82</v>
      </c>
      <c r="R28" s="3">
        <f t="shared" si="0"/>
        <v>27.165181088205276</v>
      </c>
      <c r="S28">
        <v>260.88</v>
      </c>
      <c r="T28" s="3">
        <f>SUM(S28*0.34)</f>
        <v>88.699200000000005</v>
      </c>
    </row>
    <row r="29" spans="1:20" x14ac:dyDescent="0.2">
      <c r="A29" s="5" t="s">
        <v>8</v>
      </c>
      <c r="B29" s="3">
        <v>451667.29</v>
      </c>
      <c r="C29" s="3"/>
      <c r="D29" s="3">
        <v>201171.93</v>
      </c>
      <c r="E29" s="3"/>
      <c r="F29" s="3">
        <v>79749.710000000006</v>
      </c>
      <c r="G29" s="3"/>
      <c r="H29" s="3">
        <v>16832.13</v>
      </c>
      <c r="I29" s="3"/>
      <c r="J29" s="3">
        <v>0</v>
      </c>
      <c r="K29" s="3"/>
      <c r="L29" s="3">
        <v>18238.72</v>
      </c>
      <c r="N29" s="3">
        <v>0</v>
      </c>
      <c r="O29" s="14">
        <f>SUM(D31/(SUM(B31:J31)))</f>
        <v>0.36939691561032922</v>
      </c>
      <c r="P29" s="1" t="s">
        <v>17</v>
      </c>
      <c r="Q29">
        <v>82.82</v>
      </c>
      <c r="R29" s="3">
        <f t="shared" si="0"/>
        <v>30.593452550847463</v>
      </c>
      <c r="S29">
        <v>260.88</v>
      </c>
      <c r="T29" s="3">
        <f>SUM(S29*0.63)</f>
        <v>164.3544</v>
      </c>
    </row>
    <row r="30" spans="1:20" x14ac:dyDescent="0.2">
      <c r="A30" s="5" t="s">
        <v>9</v>
      </c>
      <c r="B30" s="3">
        <v>225864.73</v>
      </c>
      <c r="C30" s="3"/>
      <c r="D30" s="3">
        <v>264383.43</v>
      </c>
      <c r="E30" s="3"/>
      <c r="F30" s="3">
        <v>33402.800000000003</v>
      </c>
      <c r="G30" s="3"/>
      <c r="H30" s="3">
        <v>0</v>
      </c>
      <c r="I30" s="3"/>
      <c r="J30" s="3">
        <v>0</v>
      </c>
      <c r="K30" s="3"/>
      <c r="L30" s="3">
        <v>11259.77</v>
      </c>
      <c r="N30" s="3">
        <v>0</v>
      </c>
      <c r="O30" s="14">
        <f>SUM(F31/(SUM(B31:J31)))</f>
        <v>0.12010978398951519</v>
      </c>
      <c r="P30" s="1" t="s">
        <v>18</v>
      </c>
      <c r="Q30">
        <v>82.82</v>
      </c>
      <c r="R30" s="3">
        <f t="shared" si="0"/>
        <v>9.947492310011647</v>
      </c>
    </row>
    <row r="31" spans="1:20" x14ac:dyDescent="0.2">
      <c r="A31" s="1" t="s">
        <v>10</v>
      </c>
      <c r="B31" s="3">
        <f>SUM(B28+B29-B30)</f>
        <v>396369.86</v>
      </c>
      <c r="C31" s="3"/>
      <c r="D31" s="3">
        <f>SUM(D28+D29-D30)</f>
        <v>446392.11000000004</v>
      </c>
      <c r="E31" s="3"/>
      <c r="F31" s="3">
        <f>SUM(F28+F29-F30)</f>
        <v>145144.85000000003</v>
      </c>
      <c r="G31" s="3"/>
      <c r="H31" s="3">
        <f>SUM(H28+H29-H30)</f>
        <v>156396.71</v>
      </c>
      <c r="I31" s="3"/>
      <c r="J31" s="3">
        <f>SUM(J28+J29-J30)</f>
        <v>64131.33</v>
      </c>
      <c r="K31" s="3"/>
      <c r="L31" s="3">
        <f>SUM(L28+L29-L30)</f>
        <v>33378.910000000003</v>
      </c>
      <c r="N31" s="3">
        <f>SUM(N28+N29-N30)</f>
        <v>1091.53</v>
      </c>
      <c r="O31" s="14">
        <f>SUM(H31/(SUM(B31:J31)))</f>
        <v>0.12942088578940861</v>
      </c>
      <c r="P31" s="1" t="s">
        <v>19</v>
      </c>
      <c r="Q31">
        <v>82.82</v>
      </c>
      <c r="R31" s="3">
        <f t="shared" si="0"/>
        <v>10.718637761078821</v>
      </c>
    </row>
    <row r="32" spans="1:20" x14ac:dyDescent="0.2">
      <c r="A32" s="4">
        <v>42736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5.3069745108147569E-2</v>
      </c>
      <c r="P32" s="1" t="s">
        <v>20</v>
      </c>
      <c r="Q32">
        <v>82.82</v>
      </c>
      <c r="R32" s="3">
        <f t="shared" si="0"/>
        <v>4.3952362898567809</v>
      </c>
      <c r="S32">
        <v>260.88</v>
      </c>
      <c r="T32" s="3">
        <f>SUM(S32*0.03)</f>
        <v>7.8263999999999996</v>
      </c>
    </row>
    <row r="33" spans="1:20" x14ac:dyDescent="0.2">
      <c r="A33" s="1" t="s">
        <v>7</v>
      </c>
      <c r="B33" s="3">
        <v>396369.86</v>
      </c>
      <c r="C33" s="3"/>
      <c r="D33" s="3">
        <v>446392.11</v>
      </c>
      <c r="E33" s="3"/>
      <c r="F33" s="3">
        <v>145144.85</v>
      </c>
      <c r="G33" s="3"/>
      <c r="H33" s="3">
        <v>156396.71</v>
      </c>
      <c r="I33" s="3"/>
      <c r="J33" s="3">
        <v>64131.33</v>
      </c>
      <c r="K33" s="3"/>
      <c r="L33" s="3">
        <v>33378.910000000003</v>
      </c>
      <c r="N33" s="3">
        <v>1091.53</v>
      </c>
      <c r="O33" s="14">
        <f>SUM(B38/(SUM(B38:J38)))</f>
        <v>0.31969303812335659</v>
      </c>
      <c r="P33" s="1" t="s">
        <v>16</v>
      </c>
      <c r="Q33">
        <v>84.2</v>
      </c>
      <c r="R33" s="3">
        <f t="shared" si="0"/>
        <v>26.918153809986627</v>
      </c>
      <c r="S33">
        <v>40.33</v>
      </c>
      <c r="T33" s="3">
        <f>SUM(S33*0.34)</f>
        <v>13.712200000000001</v>
      </c>
    </row>
    <row r="34" spans="1:20" x14ac:dyDescent="0.2">
      <c r="A34" s="5" t="s">
        <v>44</v>
      </c>
      <c r="B34" s="3">
        <v>230.84</v>
      </c>
      <c r="C34" s="3"/>
      <c r="D34" s="3"/>
      <c r="E34" s="3"/>
      <c r="F34" s="3">
        <v>81.42</v>
      </c>
      <c r="G34" s="3"/>
      <c r="H34" s="3"/>
      <c r="I34" s="3"/>
      <c r="J34" s="3"/>
      <c r="K34" s="3"/>
      <c r="L34" s="3">
        <v>5.7</v>
      </c>
      <c r="N34" s="3"/>
      <c r="O34" s="14"/>
      <c r="P34" s="1"/>
      <c r="R34" s="3"/>
      <c r="S34" t="s">
        <v>11</v>
      </c>
      <c r="T34" s="3"/>
    </row>
    <row r="35" spans="1:20" x14ac:dyDescent="0.2">
      <c r="A35" s="5" t="s">
        <v>8</v>
      </c>
      <c r="B35" s="3">
        <v>172174.43</v>
      </c>
      <c r="C35" s="3"/>
      <c r="D35" s="3">
        <v>10409.040000000001</v>
      </c>
      <c r="E35" s="3"/>
      <c r="F35" s="3">
        <v>6417</v>
      </c>
      <c r="G35" s="3"/>
      <c r="H35" s="3">
        <v>1040.92</v>
      </c>
      <c r="I35" s="3"/>
      <c r="J35" s="3">
        <v>0</v>
      </c>
      <c r="K35" s="3"/>
      <c r="L35" s="3">
        <v>21888.89</v>
      </c>
      <c r="N35" s="3">
        <v>0</v>
      </c>
      <c r="O35" s="14">
        <f>SUM(D38/(SUM(B38:J38)))</f>
        <v>0.35814812011660441</v>
      </c>
      <c r="P35" s="1" t="s">
        <v>17</v>
      </c>
      <c r="Q35">
        <v>84.2</v>
      </c>
      <c r="R35" s="3">
        <f t="shared" si="0"/>
        <v>30.156071713818093</v>
      </c>
      <c r="S35">
        <v>40.33</v>
      </c>
      <c r="T35" s="3">
        <f>SUM(S35*0.63)</f>
        <v>25.407899999999998</v>
      </c>
    </row>
    <row r="36" spans="1:20" x14ac:dyDescent="0.2">
      <c r="A36" s="5" t="s">
        <v>9</v>
      </c>
      <c r="B36" s="3">
        <v>237135.13</v>
      </c>
      <c r="C36" s="3"/>
      <c r="D36" s="3">
        <v>86462.02</v>
      </c>
      <c r="E36" s="3"/>
      <c r="F36" s="3">
        <v>39880.620000000003</v>
      </c>
      <c r="G36" s="3"/>
      <c r="H36" s="3">
        <v>0</v>
      </c>
      <c r="I36" s="3"/>
      <c r="J36" s="3">
        <v>0</v>
      </c>
      <c r="K36" s="3"/>
      <c r="L36" s="3">
        <v>22099.24</v>
      </c>
      <c r="N36" s="3">
        <v>0</v>
      </c>
      <c r="O36" s="14">
        <f>SUM(F38/(SUM(B38:J38)))</f>
        <v>0.10801653607358939</v>
      </c>
      <c r="P36" s="1" t="s">
        <v>18</v>
      </c>
      <c r="Q36">
        <v>84.2</v>
      </c>
      <c r="R36" s="3">
        <f t="shared" si="0"/>
        <v>9.0949923373962278</v>
      </c>
    </row>
    <row r="37" spans="1:20" x14ac:dyDescent="0.2">
      <c r="A37" s="5" t="s">
        <v>45</v>
      </c>
      <c r="B37" s="3">
        <v>859.71</v>
      </c>
      <c r="C37" s="3"/>
      <c r="D37" s="3">
        <v>229.9</v>
      </c>
      <c r="E37" s="3"/>
      <c r="F37" s="3"/>
      <c r="G37" s="3"/>
      <c r="H37" s="3"/>
      <c r="I37" s="3"/>
      <c r="J37" s="3"/>
      <c r="K37" s="3"/>
      <c r="L37" s="3"/>
      <c r="N37" s="3"/>
      <c r="O37" s="14"/>
      <c r="P37" s="1"/>
      <c r="R37" s="3"/>
    </row>
    <row r="38" spans="1:20" x14ac:dyDescent="0.2">
      <c r="A38" s="1" t="s">
        <v>10</v>
      </c>
      <c r="B38" s="3">
        <f>SUM(B33+B34+B35-B37-B36)</f>
        <v>330780.29000000004</v>
      </c>
      <c r="C38" s="3"/>
      <c r="D38" s="3">
        <f>SUM(D33+D35-D36+D37)</f>
        <v>370569.02999999997</v>
      </c>
      <c r="E38" s="3"/>
      <c r="F38" s="3">
        <f>SUM(F33+F34+F35-F36)</f>
        <v>111762.65000000002</v>
      </c>
      <c r="G38" s="3"/>
      <c r="H38" s="3">
        <f>SUM(H33+H35-H36)</f>
        <v>157437.63</v>
      </c>
      <c r="I38" s="3"/>
      <c r="J38" s="3">
        <f>SUM(J33+J35-J36)</f>
        <v>64131.33</v>
      </c>
      <c r="K38" s="3"/>
      <c r="L38" s="3">
        <f>SUM(L33+L34+L35-L36)</f>
        <v>33174.259999999995</v>
      </c>
      <c r="N38" s="3">
        <f>SUM(N33+N35-N36)</f>
        <v>1091.53</v>
      </c>
      <c r="O38" s="14">
        <f>SUM(H38/(SUM(B38:J38)))</f>
        <v>0.15216056026083324</v>
      </c>
      <c r="P38" s="1" t="s">
        <v>19</v>
      </c>
      <c r="Q38">
        <v>84.2</v>
      </c>
      <c r="R38" s="3">
        <f t="shared" si="0"/>
        <v>12.81191917396216</v>
      </c>
    </row>
    <row r="39" spans="1:20" x14ac:dyDescent="0.2">
      <c r="A39" s="4">
        <v>42767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14">
        <f>SUM(J38/(SUM(B38:J38)))</f>
        <v>6.198174542561638E-2</v>
      </c>
      <c r="P39" s="1" t="s">
        <v>20</v>
      </c>
      <c r="Q39">
        <v>84.2</v>
      </c>
      <c r="R39" s="3">
        <f t="shared" si="0"/>
        <v>5.2188629648368998</v>
      </c>
      <c r="S39">
        <v>40.33</v>
      </c>
      <c r="T39" s="3">
        <f>SUM(S39*0.03)</f>
        <v>1.2099</v>
      </c>
    </row>
    <row r="40" spans="1:20" x14ac:dyDescent="0.2">
      <c r="A40" s="1" t="s">
        <v>7</v>
      </c>
      <c r="B40" s="3">
        <v>330780.28999999998</v>
      </c>
      <c r="C40" s="3"/>
      <c r="D40" s="3">
        <v>370569.03</v>
      </c>
      <c r="E40" s="3"/>
      <c r="F40" s="3">
        <v>111762.65</v>
      </c>
      <c r="G40" s="3"/>
      <c r="H40" s="3">
        <v>157437.63</v>
      </c>
      <c r="I40" s="3"/>
      <c r="J40" s="3">
        <v>64131.33</v>
      </c>
      <c r="K40" s="3"/>
      <c r="L40" s="3">
        <v>33174.26</v>
      </c>
      <c r="N40" s="3">
        <v>1091.53</v>
      </c>
      <c r="O40" s="14">
        <f>SUM(B43/(SUM(B43:J43)))</f>
        <v>0.25260094351414558</v>
      </c>
      <c r="P40" s="1" t="s">
        <v>16</v>
      </c>
      <c r="Q40">
        <v>64.87</v>
      </c>
      <c r="R40" s="3">
        <f t="shared" si="0"/>
        <v>16.386223205762626</v>
      </c>
      <c r="S40">
        <v>39.67</v>
      </c>
      <c r="T40" s="3">
        <f>SUM(S40*0.34)</f>
        <v>13.487800000000002</v>
      </c>
    </row>
    <row r="41" spans="1:20" x14ac:dyDescent="0.2">
      <c r="A41" s="5" t="s">
        <v>8</v>
      </c>
      <c r="B41" s="3">
        <v>130817.46</v>
      </c>
      <c r="C41" s="3"/>
      <c r="D41" s="3">
        <v>26890.28</v>
      </c>
      <c r="E41" s="3"/>
      <c r="F41" s="3">
        <v>15531.13</v>
      </c>
      <c r="G41" s="3"/>
      <c r="H41" s="3">
        <v>9.93</v>
      </c>
      <c r="I41" s="3"/>
      <c r="J41" s="3">
        <v>0</v>
      </c>
      <c r="K41" s="3"/>
      <c r="L41" s="3">
        <v>20491.59</v>
      </c>
      <c r="N41" s="3">
        <v>0</v>
      </c>
      <c r="O41" s="14">
        <f>SUM(D43/(SUM(B43:J43)))</f>
        <v>0.41348498571632492</v>
      </c>
      <c r="P41" s="1" t="s">
        <v>17</v>
      </c>
      <c r="Q41">
        <v>64.87</v>
      </c>
      <c r="R41" s="3">
        <f t="shared" si="0"/>
        <v>26.822771023417999</v>
      </c>
      <c r="S41">
        <v>39.67</v>
      </c>
      <c r="T41" s="3">
        <f>SUM(S41*0.63)</f>
        <v>24.992100000000001</v>
      </c>
    </row>
    <row r="42" spans="1:20" x14ac:dyDescent="0.2">
      <c r="A42" s="5" t="s">
        <v>9</v>
      </c>
      <c r="B42" s="3">
        <v>229254.95</v>
      </c>
      <c r="C42" s="3"/>
      <c r="D42" s="3">
        <v>17135.080000000002</v>
      </c>
      <c r="E42" s="3"/>
      <c r="F42" s="3">
        <v>41737.910000000003</v>
      </c>
      <c r="G42" s="3"/>
      <c r="H42" s="3">
        <v>0</v>
      </c>
      <c r="I42" s="3"/>
      <c r="J42" s="3">
        <v>0</v>
      </c>
      <c r="K42" s="3"/>
      <c r="L42" s="3">
        <v>14806.53</v>
      </c>
      <c r="N42" s="3">
        <v>0</v>
      </c>
      <c r="O42" s="14">
        <f>SUM(F43/(SUM(B43:J43)))</f>
        <v>9.3015550665540667E-2</v>
      </c>
      <c r="P42" s="1" t="s">
        <v>18</v>
      </c>
      <c r="Q42">
        <v>64.87</v>
      </c>
      <c r="R42" s="3">
        <f t="shared" si="0"/>
        <v>6.0339187716736236</v>
      </c>
    </row>
    <row r="43" spans="1:20" x14ac:dyDescent="0.2">
      <c r="A43" s="1" t="s">
        <v>10</v>
      </c>
      <c r="B43" s="3">
        <f>SUM(B40+B41-B42)</f>
        <v>232342.8</v>
      </c>
      <c r="C43" s="3"/>
      <c r="D43" s="3">
        <f>SUM(D40+D41-D42)</f>
        <v>380324.23000000004</v>
      </c>
      <c r="E43" s="3"/>
      <c r="F43" s="3">
        <f>SUM(F40+F41-F42)</f>
        <v>85555.87</v>
      </c>
      <c r="G43" s="3"/>
      <c r="H43" s="3">
        <f>SUM(H40+H41-H42)</f>
        <v>157447.56</v>
      </c>
      <c r="I43" s="3"/>
      <c r="J43" s="3">
        <f>SUM(J40+J41-J42)</f>
        <v>64131.33</v>
      </c>
      <c r="K43" s="3"/>
      <c r="L43" s="3">
        <f>SUM(L40+L41-L42)</f>
        <v>38859.320000000007</v>
      </c>
      <c r="N43" s="3">
        <f>SUM(N40+N41-N42)</f>
        <v>1091.53</v>
      </c>
      <c r="O43" s="14">
        <f>SUM(H43/(SUM(B43:J43)))</f>
        <v>0.17117553119786819</v>
      </c>
      <c r="P43" s="1" t="s">
        <v>19</v>
      </c>
      <c r="Q43">
        <v>64.87</v>
      </c>
      <c r="R43" s="3">
        <f t="shared" si="0"/>
        <v>11.104156708805711</v>
      </c>
    </row>
    <row r="44" spans="1:20" x14ac:dyDescent="0.2">
      <c r="A44" s="4">
        <v>42795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14">
        <f>SUM(J43/(SUM(B43:J43)))</f>
        <v>6.9722988906120748E-2</v>
      </c>
      <c r="P44" s="1" t="s">
        <v>20</v>
      </c>
      <c r="Q44">
        <v>64.87</v>
      </c>
      <c r="R44" s="3">
        <f t="shared" si="0"/>
        <v>4.522930290340053</v>
      </c>
      <c r="S44">
        <v>39.67</v>
      </c>
      <c r="T44" s="3">
        <f>SUM(S44*0.03)</f>
        <v>1.1900999999999999</v>
      </c>
    </row>
    <row r="45" spans="1:20" x14ac:dyDescent="0.2">
      <c r="A45" s="1" t="s">
        <v>7</v>
      </c>
      <c r="B45" s="3">
        <v>232342.8</v>
      </c>
      <c r="C45" s="3"/>
      <c r="D45" s="3">
        <v>380324.23</v>
      </c>
      <c r="E45" s="3"/>
      <c r="F45" s="3">
        <v>85555.87</v>
      </c>
      <c r="G45" s="3"/>
      <c r="H45" s="3">
        <v>157447.56</v>
      </c>
      <c r="I45" s="3"/>
      <c r="J45" s="3">
        <v>64131.33</v>
      </c>
      <c r="K45" s="3"/>
      <c r="L45" s="3">
        <v>38859.32</v>
      </c>
      <c r="N45" s="3">
        <v>1091.53</v>
      </c>
      <c r="O45" s="14">
        <f>SUM(B48/(SUM(B48:J48)))</f>
        <v>0.24252535102305786</v>
      </c>
      <c r="P45" s="1" t="s">
        <v>16</v>
      </c>
      <c r="Q45">
        <v>65.209999999999994</v>
      </c>
      <c r="R45" s="3">
        <f t="shared" si="0"/>
        <v>15.815078140213602</v>
      </c>
      <c r="S45">
        <v>29.92</v>
      </c>
      <c r="T45" s="3">
        <f>SUM(S45*0.34)</f>
        <v>10.172800000000001</v>
      </c>
    </row>
    <row r="46" spans="1:20" x14ac:dyDescent="0.2">
      <c r="A46" s="5" t="s">
        <v>8</v>
      </c>
      <c r="B46" s="3">
        <v>216586.64</v>
      </c>
      <c r="C46" s="3"/>
      <c r="D46" s="3">
        <v>12785.94</v>
      </c>
      <c r="E46" s="3"/>
      <c r="F46" s="3">
        <v>8783.24</v>
      </c>
      <c r="G46" s="3"/>
      <c r="H46" s="3">
        <v>0</v>
      </c>
      <c r="I46" s="3"/>
      <c r="J46" s="3">
        <v>0</v>
      </c>
      <c r="K46" s="3"/>
      <c r="L46" s="3">
        <v>21183.73</v>
      </c>
      <c r="N46" s="3">
        <v>0</v>
      </c>
      <c r="O46" s="14">
        <f>SUM(D48/(SUM(B48:J48)))</f>
        <v>0.44522509805097127</v>
      </c>
      <c r="P46" s="1" t="s">
        <v>17</v>
      </c>
      <c r="Q46">
        <v>65.209999999999994</v>
      </c>
      <c r="R46" s="3">
        <f t="shared" si="0"/>
        <v>29.033128643903833</v>
      </c>
      <c r="S46">
        <v>29.92</v>
      </c>
      <c r="T46" s="3">
        <f>SUM(S46*0.63)</f>
        <v>18.849600000000002</v>
      </c>
    </row>
    <row r="47" spans="1:20" x14ac:dyDescent="0.2">
      <c r="A47" s="5" t="s">
        <v>9</v>
      </c>
      <c r="B47" s="3">
        <v>235987.86</v>
      </c>
      <c r="C47" s="3"/>
      <c r="D47" s="3">
        <v>2194.6</v>
      </c>
      <c r="E47" s="3"/>
      <c r="F47" s="3">
        <v>41757.33</v>
      </c>
      <c r="G47" s="3"/>
      <c r="H47" s="3">
        <v>0</v>
      </c>
      <c r="I47" s="3"/>
      <c r="J47" s="3">
        <v>0</v>
      </c>
      <c r="K47" s="3"/>
      <c r="L47" s="3">
        <v>15650.4</v>
      </c>
      <c r="N47" s="3">
        <v>0</v>
      </c>
      <c r="O47" s="14">
        <f>SUM(F48/(SUM(B48:J48)))</f>
        <v>5.988691664595145E-2</v>
      </c>
      <c r="P47" s="1" t="s">
        <v>18</v>
      </c>
      <c r="Q47">
        <v>65.209999999999994</v>
      </c>
      <c r="R47" s="3">
        <f t="shared" si="0"/>
        <v>3.9052258344824935</v>
      </c>
    </row>
    <row r="48" spans="1:20" x14ac:dyDescent="0.2">
      <c r="A48" s="1" t="s">
        <v>10</v>
      </c>
      <c r="B48" s="3">
        <f>SUM(B45+B46-B47)</f>
        <v>212941.58000000002</v>
      </c>
      <c r="C48" s="3"/>
      <c r="D48" s="3">
        <f>SUM(D45+D46-D47)</f>
        <v>390915.57</v>
      </c>
      <c r="E48" s="3"/>
      <c r="F48" s="3">
        <f>SUM(F45+F46-F47)</f>
        <v>52581.78</v>
      </c>
      <c r="G48" s="3"/>
      <c r="H48" s="3">
        <f>SUM(H45+H46-H47)</f>
        <v>157447.56</v>
      </c>
      <c r="I48" s="3"/>
      <c r="J48" s="3">
        <f>SUM(J45+J46-J47)</f>
        <v>64131.33</v>
      </c>
      <c r="K48" s="3"/>
      <c r="L48" s="3">
        <f>SUM(L45+L46-L47)</f>
        <v>44392.65</v>
      </c>
      <c r="N48" s="3">
        <f>SUM(N45+N46-N47)</f>
        <v>1091.53</v>
      </c>
      <c r="O48" s="14">
        <f>SUM(H48/(SUM(B48:J48)))</f>
        <v>0.17932159964589331</v>
      </c>
      <c r="P48" s="1" t="s">
        <v>19</v>
      </c>
      <c r="Q48">
        <v>65.209999999999994</v>
      </c>
      <c r="R48" s="3">
        <f t="shared" si="0"/>
        <v>11.693561512908701</v>
      </c>
    </row>
    <row r="49" spans="1:20" x14ac:dyDescent="0.2">
      <c r="A49" s="4">
        <v>42826</v>
      </c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14">
        <f>SUM(J48/(SUM(B48:J48)))</f>
        <v>7.3041034634126228E-2</v>
      </c>
      <c r="P49" s="1" t="s">
        <v>20</v>
      </c>
      <c r="Q49">
        <v>65.209999999999994</v>
      </c>
      <c r="R49" s="3">
        <f t="shared" si="0"/>
        <v>4.763005868491371</v>
      </c>
      <c r="S49">
        <v>29.92</v>
      </c>
      <c r="T49" s="3">
        <f>SUM(S49*0.03)</f>
        <v>0.89760000000000006</v>
      </c>
    </row>
    <row r="50" spans="1:20" x14ac:dyDescent="0.2">
      <c r="A50" s="1" t="s">
        <v>7</v>
      </c>
      <c r="B50" s="3">
        <v>212941.58</v>
      </c>
      <c r="C50" s="3"/>
      <c r="D50" s="3">
        <v>390915.57</v>
      </c>
      <c r="E50" s="3"/>
      <c r="F50" s="3">
        <v>52581.78</v>
      </c>
      <c r="G50" s="3"/>
      <c r="H50" s="3">
        <v>157447.56</v>
      </c>
      <c r="I50" s="3"/>
      <c r="J50" s="3">
        <v>64131.33</v>
      </c>
      <c r="K50" s="3"/>
      <c r="L50" s="3">
        <v>44392.65</v>
      </c>
      <c r="N50" s="3">
        <v>1091.53</v>
      </c>
      <c r="O50" s="14">
        <f>SUM(B53/(SUM(B53:J53)))</f>
        <v>3.8925267442999787E-3</v>
      </c>
      <c r="P50" s="1" t="s">
        <v>16</v>
      </c>
      <c r="Q50">
        <v>57.18</v>
      </c>
      <c r="R50" s="3">
        <f t="shared" si="0"/>
        <v>0.22257467923907279</v>
      </c>
      <c r="S50">
        <v>111.58</v>
      </c>
      <c r="T50" s="3">
        <f>SUM(S50*0.34)</f>
        <v>37.937200000000004</v>
      </c>
    </row>
    <row r="51" spans="1:20" x14ac:dyDescent="0.2">
      <c r="A51" s="5" t="s">
        <v>8</v>
      </c>
      <c r="B51" s="3">
        <v>21387.09</v>
      </c>
      <c r="C51" s="3"/>
      <c r="D51" s="3">
        <v>47565.19</v>
      </c>
      <c r="E51" s="3"/>
      <c r="F51" s="3">
        <v>15129.35</v>
      </c>
      <c r="G51" s="3"/>
      <c r="H51" s="3">
        <v>15.23</v>
      </c>
      <c r="I51" s="3"/>
      <c r="J51" s="3">
        <v>0</v>
      </c>
      <c r="K51" s="3"/>
      <c r="L51" s="3">
        <v>21210</v>
      </c>
      <c r="N51" s="3">
        <v>2115</v>
      </c>
      <c r="O51" s="14">
        <f>SUM(D53/(SUM(B53:J53)))</f>
        <v>0.62264091479623729</v>
      </c>
      <c r="P51" s="1" t="s">
        <v>17</v>
      </c>
      <c r="Q51">
        <v>57.18</v>
      </c>
      <c r="R51" s="3">
        <f t="shared" si="0"/>
        <v>35.602607508048848</v>
      </c>
      <c r="S51">
        <v>111.58</v>
      </c>
      <c r="T51" s="3">
        <f>SUM(S51*0.63)</f>
        <v>70.295400000000001</v>
      </c>
    </row>
    <row r="52" spans="1:20" x14ac:dyDescent="0.2">
      <c r="A52" s="5" t="s">
        <v>9</v>
      </c>
      <c r="B52" s="3">
        <v>231697.9</v>
      </c>
      <c r="C52" s="3"/>
      <c r="D52" s="3">
        <v>17667.97</v>
      </c>
      <c r="E52" s="3"/>
      <c r="F52" s="3">
        <v>36897.32</v>
      </c>
      <c r="G52" s="3"/>
      <c r="H52" s="3">
        <v>0</v>
      </c>
      <c r="I52" s="3"/>
      <c r="J52" s="3">
        <v>0</v>
      </c>
      <c r="K52" s="3"/>
      <c r="L52" s="3">
        <v>17471.259999999998</v>
      </c>
      <c r="N52" s="3">
        <v>0</v>
      </c>
      <c r="O52" s="14">
        <f>SUM(F53/(SUM(B53:J53)))</f>
        <v>4.5592575374806092E-2</v>
      </c>
      <c r="P52" s="1" t="s">
        <v>18</v>
      </c>
      <c r="Q52">
        <v>57.18</v>
      </c>
      <c r="R52" s="3">
        <f t="shared" si="0"/>
        <v>2.6069834599314121</v>
      </c>
    </row>
    <row r="53" spans="1:20" x14ac:dyDescent="0.2">
      <c r="A53" s="1" t="s">
        <v>10</v>
      </c>
      <c r="B53" s="3">
        <f>SUM(B50+B51-B52)</f>
        <v>2630.7699999999895</v>
      </c>
      <c r="C53" s="3"/>
      <c r="D53" s="3">
        <f>SUM(D50+D51-D52)</f>
        <v>420812.79000000004</v>
      </c>
      <c r="E53" s="3"/>
      <c r="F53" s="3">
        <f>SUM(F50+F51-F52)</f>
        <v>30813.810000000005</v>
      </c>
      <c r="G53" s="3"/>
      <c r="H53" s="3">
        <f>SUM(H50+H51-H52)</f>
        <v>157462.79</v>
      </c>
      <c r="I53" s="3"/>
      <c r="J53" s="3">
        <f>SUM(J50+J51-J52)</f>
        <v>64131.33</v>
      </c>
      <c r="K53" s="3"/>
      <c r="L53" s="3">
        <f>SUM(L50+L51-L52)</f>
        <v>48131.39</v>
      </c>
      <c r="N53" s="3">
        <f>SUM(N50+N51-N52)</f>
        <v>3206.5299999999997</v>
      </c>
      <c r="O53" s="14">
        <f>SUM(H53/(SUM(B53:J53)))</f>
        <v>0.23298430547219776</v>
      </c>
      <c r="P53" s="1" t="s">
        <v>19</v>
      </c>
      <c r="Q53">
        <v>57.18</v>
      </c>
      <c r="R53" s="3">
        <f t="shared" si="0"/>
        <v>13.322042586900267</v>
      </c>
    </row>
    <row r="54" spans="1:20" x14ac:dyDescent="0.2">
      <c r="A54" s="4">
        <v>42856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14">
        <f>SUM(J53/(SUM(B53:J53)))</f>
        <v>9.4889677612458923E-2</v>
      </c>
      <c r="P54" s="1" t="s">
        <v>20</v>
      </c>
      <c r="Q54">
        <v>57.18</v>
      </c>
      <c r="R54" s="3">
        <f t="shared" si="0"/>
        <v>5.4257917658804011</v>
      </c>
      <c r="S54">
        <v>111.58</v>
      </c>
      <c r="T54" s="3">
        <f>SUM(S54*0.03)</f>
        <v>3.3473999999999999</v>
      </c>
    </row>
    <row r="55" spans="1:20" x14ac:dyDescent="0.2">
      <c r="A55" s="1" t="s">
        <v>7</v>
      </c>
      <c r="B55" s="3">
        <v>2630.77</v>
      </c>
      <c r="C55" s="3"/>
      <c r="D55" s="3">
        <v>420812.79</v>
      </c>
      <c r="E55" s="3"/>
      <c r="F55" s="3">
        <v>30813.81</v>
      </c>
      <c r="G55" s="3"/>
      <c r="H55" s="3">
        <v>157462.79</v>
      </c>
      <c r="I55" s="3"/>
      <c r="J55" s="3">
        <v>64131.33</v>
      </c>
      <c r="K55" s="3"/>
      <c r="L55" s="3">
        <v>48131.39</v>
      </c>
      <c r="N55" s="3">
        <v>3206.53</v>
      </c>
      <c r="O55" s="14">
        <f>SUM(B58/(SUM(B58:J58)))</f>
        <v>0.17814535770481393</v>
      </c>
      <c r="P55" s="1" t="s">
        <v>16</v>
      </c>
      <c r="Q55">
        <v>70.31</v>
      </c>
      <c r="R55" s="3">
        <f t="shared" si="0"/>
        <v>12.525400100225468</v>
      </c>
      <c r="T55" s="3">
        <f>SUM(S55*0.34)</f>
        <v>0</v>
      </c>
    </row>
    <row r="56" spans="1:20" x14ac:dyDescent="0.2">
      <c r="A56" s="5" t="s">
        <v>8</v>
      </c>
      <c r="B56" s="3">
        <v>450074.86</v>
      </c>
      <c r="C56" s="3"/>
      <c r="D56" s="3">
        <v>277815.7</v>
      </c>
      <c r="E56" s="3"/>
      <c r="F56" s="3">
        <v>160814.85999999999</v>
      </c>
      <c r="G56" s="3"/>
      <c r="H56" s="3">
        <v>38.270000000000003</v>
      </c>
      <c r="I56" s="3"/>
      <c r="J56" s="3">
        <v>0</v>
      </c>
      <c r="K56" s="3"/>
      <c r="L56" s="3">
        <v>10358.4</v>
      </c>
      <c r="N56" s="3">
        <v>1880</v>
      </c>
      <c r="O56" s="14">
        <f>SUM(D58/(SUM(B58:J58)))</f>
        <v>0.5317326512834375</v>
      </c>
      <c r="P56" s="1" t="s">
        <v>17</v>
      </c>
      <c r="Q56">
        <v>70.31</v>
      </c>
      <c r="R56" s="3">
        <f t="shared" si="0"/>
        <v>37.386122711738494</v>
      </c>
      <c r="T56" s="3">
        <f>SUM(S56*0.63)</f>
        <v>0</v>
      </c>
    </row>
    <row r="57" spans="1:20" x14ac:dyDescent="0.2">
      <c r="A57" s="5" t="s">
        <v>9</v>
      </c>
      <c r="B57" s="3">
        <v>227638.31</v>
      </c>
      <c r="C57" s="3"/>
      <c r="D57" s="3">
        <v>26842.01</v>
      </c>
      <c r="E57" s="3"/>
      <c r="F57" s="3">
        <v>46723.42</v>
      </c>
      <c r="G57" s="3"/>
      <c r="H57" s="3">
        <v>0</v>
      </c>
      <c r="I57" s="3"/>
      <c r="J57" s="3">
        <v>0</v>
      </c>
      <c r="K57" s="3"/>
      <c r="L57" s="3">
        <v>9607.7999999999993</v>
      </c>
      <c r="N57" s="3">
        <v>0</v>
      </c>
      <c r="O57" s="14">
        <f>SUM(F58/(SUM(B58:J58)))</f>
        <v>0.11469545020821099</v>
      </c>
      <c r="P57" s="1" t="s">
        <v>18</v>
      </c>
      <c r="Q57">
        <v>70.31</v>
      </c>
      <c r="R57" s="3">
        <f t="shared" si="0"/>
        <v>8.0642371041393162</v>
      </c>
    </row>
    <row r="58" spans="1:20" x14ac:dyDescent="0.2">
      <c r="A58" s="1" t="s">
        <v>10</v>
      </c>
      <c r="B58" s="3">
        <f>SUM(B55+B56-B57)</f>
        <v>225067.32</v>
      </c>
      <c r="C58" s="3"/>
      <c r="D58" s="3">
        <f>SUM(D55+D56-D57)</f>
        <v>671786.48</v>
      </c>
      <c r="E58" s="3"/>
      <c r="F58" s="3">
        <f>SUM(F55+F56-F57)</f>
        <v>144905.25</v>
      </c>
      <c r="G58" s="3"/>
      <c r="H58" s="3">
        <f>SUM(H55+H56-H57)</f>
        <v>157501.06</v>
      </c>
      <c r="I58" s="3"/>
      <c r="J58" s="3">
        <f>SUM(J55+J56-J57)</f>
        <v>64131.33</v>
      </c>
      <c r="K58" s="3"/>
      <c r="L58" s="3">
        <f>SUM(L55+L56-L57)</f>
        <v>48881.990000000005</v>
      </c>
      <c r="N58" s="3">
        <f>SUM(N55+N56-N57)</f>
        <v>5086.5300000000007</v>
      </c>
      <c r="O58" s="14">
        <f>SUM(H58/(SUM(B58:J58)))</f>
        <v>0.1246652898012353</v>
      </c>
      <c r="P58" s="1" t="s">
        <v>19</v>
      </c>
      <c r="Q58">
        <v>70.31</v>
      </c>
      <c r="R58" s="3">
        <f t="shared" si="0"/>
        <v>8.7652165259248545</v>
      </c>
    </row>
    <row r="59" spans="1:20" x14ac:dyDescent="0.2">
      <c r="A59" s="4">
        <v>42887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14">
        <f>SUM(J58/(SUM(B58:J58)))</f>
        <v>5.076125100230218E-2</v>
      </c>
      <c r="P59" s="1" t="s">
        <v>20</v>
      </c>
      <c r="Q59">
        <v>70.31</v>
      </c>
      <c r="R59" s="3">
        <f t="shared" si="0"/>
        <v>3.5690235579718665</v>
      </c>
      <c r="T59" s="3">
        <f>SUM(S59*0.03)</f>
        <v>0</v>
      </c>
    </row>
    <row r="60" spans="1:20" x14ac:dyDescent="0.2">
      <c r="A60" s="1" t="s">
        <v>7</v>
      </c>
      <c r="B60" s="3">
        <v>225067.32</v>
      </c>
      <c r="C60" s="3"/>
      <c r="D60" s="3">
        <v>671786.48</v>
      </c>
      <c r="E60" s="3"/>
      <c r="F60" s="3">
        <v>144905.25</v>
      </c>
      <c r="G60" s="3"/>
      <c r="H60" s="3">
        <v>157501.06</v>
      </c>
      <c r="I60" s="3"/>
      <c r="J60" s="3">
        <v>64131.33</v>
      </c>
      <c r="K60" s="3"/>
      <c r="L60" s="3">
        <v>48881.99</v>
      </c>
      <c r="N60" s="3">
        <v>5086.53</v>
      </c>
      <c r="O60" s="14">
        <f>SUM(B63/(SUM(B63:J63)))</f>
        <v>0.15300707271553798</v>
      </c>
      <c r="P60" s="1" t="s">
        <v>16</v>
      </c>
      <c r="Q60">
        <v>112.26</v>
      </c>
      <c r="R60" s="3">
        <f t="shared" si="0"/>
        <v>17.176573983046296</v>
      </c>
      <c r="T60" s="3">
        <f>SUM(S60*0.34)</f>
        <v>0</v>
      </c>
    </row>
    <row r="61" spans="1:20" x14ac:dyDescent="0.2">
      <c r="A61" s="5" t="s">
        <v>8</v>
      </c>
      <c r="B61" s="3">
        <v>528697.84</v>
      </c>
      <c r="C61" s="3"/>
      <c r="D61" s="3">
        <v>298949.95</v>
      </c>
      <c r="E61" s="3"/>
      <c r="F61" s="3">
        <v>119702.46</v>
      </c>
      <c r="G61" s="3"/>
      <c r="H61" s="3">
        <v>21.76</v>
      </c>
      <c r="I61" s="3"/>
      <c r="J61" s="3">
        <v>0</v>
      </c>
      <c r="K61" s="3"/>
      <c r="L61" s="3">
        <v>4099.5200000000004</v>
      </c>
      <c r="N61" s="3">
        <v>0</v>
      </c>
      <c r="O61" s="14">
        <f>SUM(D63/(SUM(B63:J63)))</f>
        <v>0.63168273318347867</v>
      </c>
      <c r="P61" s="1" t="s">
        <v>17</v>
      </c>
      <c r="Q61">
        <v>112.26</v>
      </c>
      <c r="R61" s="3">
        <f t="shared" si="0"/>
        <v>70.912703627177322</v>
      </c>
      <c r="T61" s="3">
        <f>SUM(S61*0.63)</f>
        <v>0</v>
      </c>
    </row>
    <row r="62" spans="1:20" x14ac:dyDescent="0.2">
      <c r="A62" s="5" t="s">
        <v>9</v>
      </c>
      <c r="B62" s="3">
        <v>524145.59</v>
      </c>
      <c r="C62" s="3"/>
      <c r="D62" s="3">
        <v>22762.49</v>
      </c>
      <c r="E62" s="3"/>
      <c r="F62" s="3">
        <v>98970.85</v>
      </c>
      <c r="G62" s="3"/>
      <c r="H62" s="3">
        <v>45</v>
      </c>
      <c r="I62" s="3"/>
      <c r="J62" s="3">
        <v>64127.39</v>
      </c>
      <c r="K62" s="3"/>
      <c r="L62" s="3">
        <v>27556.87</v>
      </c>
      <c r="N62" s="3">
        <v>3068.59</v>
      </c>
      <c r="O62" s="14">
        <f>SUM(F63/(SUM(B63:J63)))</f>
        <v>0.11037217377592598</v>
      </c>
      <c r="P62" s="1" t="s">
        <v>18</v>
      </c>
      <c r="Q62">
        <v>112.26</v>
      </c>
      <c r="R62" s="3">
        <f t="shared" si="0"/>
        <v>12.390380228085451</v>
      </c>
    </row>
    <row r="63" spans="1:20" x14ac:dyDescent="0.2">
      <c r="A63" s="1" t="s">
        <v>10</v>
      </c>
      <c r="B63" s="3">
        <f>SUM(B60+B61-B62)</f>
        <v>229619.56999999989</v>
      </c>
      <c r="C63" s="3"/>
      <c r="D63" s="3">
        <f>SUM(D60+D61-D62)</f>
        <v>947973.94</v>
      </c>
      <c r="E63" s="3"/>
      <c r="F63" s="3">
        <f>SUM(F60+F61-F62)</f>
        <v>165636.86000000002</v>
      </c>
      <c r="G63" s="3"/>
      <c r="H63" s="3">
        <f>SUM(H60+H61-H62)</f>
        <v>157477.82</v>
      </c>
      <c r="I63" s="3"/>
      <c r="J63" s="3">
        <f>SUM(J60+J61-J62)</f>
        <v>3.9400000000023283</v>
      </c>
      <c r="K63" s="3"/>
      <c r="L63" s="3">
        <f>SUM(L60+L61-L62)</f>
        <v>25424.639999999996</v>
      </c>
      <c r="N63" s="3">
        <f>SUM(N60+N61-N62)</f>
        <v>2017.9399999999996</v>
      </c>
      <c r="O63" s="14">
        <f>SUM(H63/(SUM(B63:J63)))</f>
        <v>0.10493539490481764</v>
      </c>
      <c r="P63" s="1" t="s">
        <v>19</v>
      </c>
      <c r="Q63">
        <v>112.26</v>
      </c>
      <c r="R63" s="3">
        <f t="shared" si="0"/>
        <v>11.780047432014829</v>
      </c>
    </row>
    <row r="64" spans="1:20" x14ac:dyDescent="0.2">
      <c r="A64" s="5" t="s">
        <v>26</v>
      </c>
      <c r="B64" s="3">
        <v>266370.08</v>
      </c>
      <c r="C64" s="3"/>
      <c r="D64" s="3"/>
      <c r="E64" s="3"/>
      <c r="F64" s="3">
        <v>52872.800000000003</v>
      </c>
      <c r="G64" s="3"/>
      <c r="H64" s="3"/>
      <c r="I64" s="3"/>
      <c r="J64" s="3"/>
      <c r="K64" s="3"/>
      <c r="L64" s="3">
        <v>16207.52</v>
      </c>
      <c r="N64" s="3">
        <v>2386.69</v>
      </c>
      <c r="O64" s="14">
        <f>SUM(J63/(SUM(B63:J63)))</f>
        <v>2.6254202396580406E-6</v>
      </c>
      <c r="P64" s="1" t="s">
        <v>20</v>
      </c>
      <c r="Q64">
        <v>112.26</v>
      </c>
      <c r="R64" s="3">
        <f t="shared" si="0"/>
        <v>2.9472967610401162E-4</v>
      </c>
      <c r="T64" s="3">
        <f>SUM(S64*0.03)</f>
        <v>0</v>
      </c>
    </row>
    <row r="65" spans="1:21" x14ac:dyDescent="0.2">
      <c r="A65" s="5" t="s">
        <v>43</v>
      </c>
      <c r="B65" s="3">
        <v>8955.02</v>
      </c>
      <c r="C65" s="3"/>
      <c r="D65" s="3"/>
      <c r="E65" s="3"/>
      <c r="F65" s="2"/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SUM(B63:B65)</f>
        <v>504944.66999999993</v>
      </c>
      <c r="C66" s="3"/>
      <c r="D66" s="3">
        <f>SUM(D63:D65)</f>
        <v>947973.94</v>
      </c>
      <c r="E66" s="3"/>
      <c r="F66" s="3">
        <f>SUM(F63:F65)</f>
        <v>218509.66000000003</v>
      </c>
      <c r="G66" s="3"/>
      <c r="H66" s="3">
        <f>SUM(H63:H65)</f>
        <v>157477.82</v>
      </c>
      <c r="I66" s="3"/>
      <c r="J66" s="3">
        <f>SUM(J63:J65)</f>
        <v>3.9400000000023283</v>
      </c>
      <c r="K66" s="3"/>
      <c r="L66" s="3">
        <f>SUM(L63:L65)</f>
        <v>41632.159999999996</v>
      </c>
      <c r="N66" s="3">
        <f>SUM(N63:N65)</f>
        <v>4404.6299999999992</v>
      </c>
      <c r="O66" s="14"/>
      <c r="P66" s="1" t="s">
        <v>16</v>
      </c>
      <c r="R66" s="2">
        <f>SUM(R3,R8,R13,R18,R23,R28,R33,R40,R45,R50,R55,R60)</f>
        <v>236.00420607711879</v>
      </c>
      <c r="T66" s="2">
        <f>SUM(T3,T8,T13,T18,T23,T28,T33,T40,T45,T50,T55,T60)</f>
        <v>327.80760000000004</v>
      </c>
      <c r="U66" s="2">
        <f>SUM(R66+T66+(R68*0.4))</f>
        <v>594.27089908187793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SUM(R4,R9,R14,R19,R24,R29,R35,R41,R46,R51,R56,R61)</f>
        <v>381.7649891353858</v>
      </c>
      <c r="T67" s="2">
        <f>SUM(T4,T9,T14,T19,T24,T29,T35,T41,T46,T51,T56,T61)</f>
        <v>607.40819999999997</v>
      </c>
      <c r="U67" s="2">
        <f>SUM(R67+T67+(R68*0.35))</f>
        <v>1015.82489551455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SUM(R5,R10,R15,R20,R25,R30,R36,R42,R47,R52,R57,R62)</f>
        <v>76.147732511897715</v>
      </c>
      <c r="T68" s="1"/>
    </row>
    <row r="69" spans="1:21" x14ac:dyDescent="0.2">
      <c r="B69" s="3">
        <f>SUM(B5,B10,B15,B20,B25,B30,B36,B42,B47,B52,B57,B62)</f>
        <v>3084667.73</v>
      </c>
      <c r="C69" s="3"/>
      <c r="D69" s="3">
        <f>SUM(D5,D10,D15,D20,D25,D30,D36,D42,D47,D52,D57,D62)</f>
        <v>802292.75</v>
      </c>
      <c r="E69" s="3"/>
      <c r="F69" s="3">
        <f>SUM(F5,F10,F15,F20,F25,F30,F36,F42,F47,F52,F57,F62)</f>
        <v>516382.05000000005</v>
      </c>
      <c r="G69" s="3"/>
      <c r="H69" s="3">
        <f>SUM(H5,H10,H15,H20,H25,H30,H36,H42,H47,H52,H57,H62)</f>
        <v>17445</v>
      </c>
      <c r="I69" s="3"/>
      <c r="J69" s="3">
        <f>SUM(J5,J10,J15,J20,J25,J30,J36,J42,J47,J52,J57,J62)</f>
        <v>145057.39000000001</v>
      </c>
      <c r="K69" s="3"/>
      <c r="L69" s="3">
        <f>SUM(L5,L10,L15,L20,L25,L30,L36,L42,L47,L52,L57,L62)</f>
        <v>184004.59999999998</v>
      </c>
      <c r="N69" s="3">
        <f>SUM(N5,N10,N15,N20,N25,N30,N36,N42,N47,N52,N57,N62)</f>
        <v>7515.83</v>
      </c>
      <c r="O69" s="14"/>
      <c r="P69" s="1" t="s">
        <v>19</v>
      </c>
      <c r="R69" s="2">
        <f>SUM(R6,R11,R16,R21,R26,R31,R38,R43,R48,R53,R58,R63)</f>
        <v>124.12362131442455</v>
      </c>
      <c r="T69" s="1"/>
      <c r="U69" s="2">
        <f>SUM(R69+(R68*0.125))</f>
        <v>133.64208787841176</v>
      </c>
    </row>
    <row r="70" spans="1:21" x14ac:dyDescent="0.2">
      <c r="B70" s="15">
        <f>SUM(B31/B69)</f>
        <v>0.12849677653936489</v>
      </c>
      <c r="C70" s="3"/>
      <c r="D70" s="15">
        <f>SUM(D31/D69)</f>
        <v>0.55639554264948798</v>
      </c>
      <c r="E70" s="3"/>
      <c r="F70" s="15">
        <f>SUM(F31/F69)</f>
        <v>0.28108035513627949</v>
      </c>
      <c r="G70" s="3"/>
      <c r="H70" s="15">
        <f>SUM(H31/H69)</f>
        <v>8.9651309830897095</v>
      </c>
      <c r="I70" s="3"/>
      <c r="J70" s="15">
        <f>SUM(J31/J69)</f>
        <v>0.44211005037385542</v>
      </c>
      <c r="K70" s="3"/>
      <c r="L70" s="15">
        <f>SUM(L31/L69)</f>
        <v>0.18140258450060492</v>
      </c>
      <c r="N70" s="15">
        <f>SUM(N31/N69)</f>
        <v>0.14523079952580087</v>
      </c>
      <c r="O70" s="14"/>
      <c r="P70" s="1" t="s">
        <v>20</v>
      </c>
      <c r="R70" s="2">
        <f>SUM(R7,R12,R17,R22,R27,R32,R39,R44,R49,R54,R59,R64)</f>
        <v>52.57945096117318</v>
      </c>
      <c r="T70" s="2">
        <f>SUM(T7,T12,T17,T22,T27,T32,T39,T44,T49,T54,T59,T64)</f>
        <v>28.924199999999999</v>
      </c>
      <c r="U70" s="2">
        <f>SUM(R70+T70+(R68*0.125))</f>
        <v>91.022117525160397</v>
      </c>
    </row>
  </sheetData>
  <pageMargins left="0.7" right="0.7" top="0.75" bottom="0.75" header="0.3" footer="0.3"/>
  <pageSetup scale="94" orientation="landscape" r:id="rId1"/>
  <rowBreaks count="1" manualBreakCount="1">
    <brk id="43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Q3" sqref="Q3"/>
    </sheetView>
  </sheetViews>
  <sheetFormatPr defaultRowHeight="12.75" x14ac:dyDescent="0.2"/>
  <cols>
    <col min="1" max="1" width="21" customWidth="1"/>
    <col min="2" max="2" width="17" customWidth="1"/>
    <col min="3" max="3" width="1.85546875" customWidth="1"/>
    <col min="4" max="4" width="16.28515625" customWidth="1"/>
    <col min="5" max="5" width="2.85546875" customWidth="1"/>
    <col min="6" max="6" width="14.5703125" customWidth="1"/>
    <col min="7" max="7" width="1.5703125" customWidth="1"/>
    <col min="8" max="8" width="13" customWidth="1"/>
    <col min="9" max="9" width="3.140625" customWidth="1"/>
    <col min="10" max="10" width="11" customWidth="1"/>
    <col min="11" max="11" width="3.28515625" customWidth="1"/>
    <col min="12" max="12" width="14.140625" customWidth="1"/>
    <col min="13" max="13" width="3.28515625" customWidth="1"/>
    <col min="14" max="15" width="13" customWidth="1"/>
    <col min="16" max="16" width="7" customWidth="1"/>
    <col min="17" max="17" width="11.7109375" customWidth="1"/>
    <col min="19" max="19" width="10.28515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42186</v>
      </c>
      <c r="N2" s="3"/>
      <c r="O2" s="14"/>
    </row>
    <row r="3" spans="1:20" x14ac:dyDescent="0.2">
      <c r="A3" s="1" t="s">
        <v>7</v>
      </c>
      <c r="B3" s="3">
        <v>594097.93999999994</v>
      </c>
      <c r="C3" s="3"/>
      <c r="D3" s="3">
        <v>1052614.45</v>
      </c>
      <c r="E3" s="3"/>
      <c r="F3" s="3">
        <v>87497.65</v>
      </c>
      <c r="G3" s="3"/>
      <c r="H3" s="3">
        <v>93851.9</v>
      </c>
      <c r="I3" s="3"/>
      <c r="J3" s="3">
        <v>227454.04</v>
      </c>
      <c r="K3" s="3"/>
      <c r="L3" s="3">
        <v>28270.36</v>
      </c>
      <c r="N3" s="3">
        <v>4850.7299999999996</v>
      </c>
      <c r="O3" s="14">
        <f>SUM(B6/(SUM(B6:J6)))</f>
        <v>0.42413607282538995</v>
      </c>
      <c r="P3" s="1" t="s">
        <v>16</v>
      </c>
      <c r="Q3">
        <v>155.35</v>
      </c>
      <c r="R3" s="3">
        <f>SUM(O3*Q3)</f>
        <v>65.889538913424332</v>
      </c>
      <c r="S3">
        <v>199.96</v>
      </c>
      <c r="T3" s="3">
        <f>SUM(S3*0.34)</f>
        <v>67.986400000000003</v>
      </c>
    </row>
    <row r="4" spans="1:20" x14ac:dyDescent="0.2">
      <c r="A4" s="5" t="s">
        <v>8</v>
      </c>
      <c r="B4" s="3">
        <v>99534.87</v>
      </c>
      <c r="C4" s="3"/>
      <c r="D4" s="3">
        <v>1157.58</v>
      </c>
      <c r="E4" s="3"/>
      <c r="F4" s="3">
        <v>2102.88</v>
      </c>
      <c r="G4" s="3"/>
      <c r="H4" s="3">
        <v>115.93</v>
      </c>
      <c r="I4" s="3"/>
      <c r="J4" s="3">
        <v>0</v>
      </c>
      <c r="K4" s="3"/>
      <c r="L4" s="3">
        <v>0</v>
      </c>
      <c r="N4" s="3">
        <v>0</v>
      </c>
      <c r="O4" s="14">
        <f>SUM(D6/(SUM(B6:J6)))</f>
        <v>0.34182882758629013</v>
      </c>
      <c r="P4" s="1" t="s">
        <v>17</v>
      </c>
      <c r="Q4">
        <v>155.35</v>
      </c>
      <c r="R4" s="3">
        <f t="shared" ref="R4:R62" si="0">SUM(O4*Q4)</f>
        <v>53.103108365530169</v>
      </c>
      <c r="S4">
        <v>199.96</v>
      </c>
      <c r="T4" s="3">
        <f>SUM(S4*0.63)</f>
        <v>125.9748</v>
      </c>
    </row>
    <row r="5" spans="1:20" x14ac:dyDescent="0.2">
      <c r="A5" s="5" t="s">
        <v>9</v>
      </c>
      <c r="B5" s="3">
        <v>187579.13</v>
      </c>
      <c r="C5" s="3"/>
      <c r="D5" s="3">
        <v>645922.41</v>
      </c>
      <c r="E5" s="3"/>
      <c r="F5" s="3">
        <v>35765.78</v>
      </c>
      <c r="G5" s="3"/>
      <c r="H5" s="3">
        <v>14550</v>
      </c>
      <c r="I5" s="3"/>
      <c r="J5" s="3">
        <v>81470</v>
      </c>
      <c r="K5" s="3"/>
      <c r="L5" s="3">
        <v>7170.49</v>
      </c>
      <c r="N5" s="3">
        <v>3108.08</v>
      </c>
      <c r="O5" s="14">
        <f>SUM(F6/(SUM(B6:J6)))</f>
        <v>4.5120232000954261E-2</v>
      </c>
      <c r="P5" s="1" t="s">
        <v>18</v>
      </c>
      <c r="Q5">
        <v>155.35</v>
      </c>
      <c r="R5" s="3">
        <f t="shared" si="0"/>
        <v>7.0094280413482437</v>
      </c>
    </row>
    <row r="6" spans="1:20" x14ac:dyDescent="0.2">
      <c r="A6" s="1" t="s">
        <v>10</v>
      </c>
      <c r="B6" s="3">
        <f>SUM(B3+B4-B5)</f>
        <v>506053.67999999993</v>
      </c>
      <c r="C6" s="3"/>
      <c r="D6" s="3">
        <f>SUM(D3+D4-D5)</f>
        <v>407849.62</v>
      </c>
      <c r="E6" s="3"/>
      <c r="F6" s="3">
        <f>SUM(F3+F4-F5)</f>
        <v>53834.75</v>
      </c>
      <c r="G6" s="3"/>
      <c r="H6" s="3">
        <f>SUM(H3+H4-H5)</f>
        <v>79417.829999999987</v>
      </c>
      <c r="I6" s="3"/>
      <c r="J6" s="3">
        <f>SUM(J3+J4-J5)</f>
        <v>145984.04</v>
      </c>
      <c r="K6" s="3"/>
      <c r="L6" s="3">
        <f>SUM(L3+L4-L5)</f>
        <v>21099.870000000003</v>
      </c>
      <c r="N6" s="3">
        <f>SUM(N3+N4-N5)</f>
        <v>1742.6499999999996</v>
      </c>
      <c r="O6" s="14">
        <f>SUM(H6/(SUM(B6:J6)))</f>
        <v>6.6562042446790301E-2</v>
      </c>
      <c r="P6" s="1" t="s">
        <v>19</v>
      </c>
      <c r="Q6">
        <v>155.35</v>
      </c>
      <c r="R6" s="3">
        <f t="shared" si="0"/>
        <v>10.340413294108872</v>
      </c>
    </row>
    <row r="7" spans="1:20" x14ac:dyDescent="0.2">
      <c r="A7" s="4">
        <v>42217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0.12235282514057531</v>
      </c>
      <c r="P7" s="1" t="s">
        <v>20</v>
      </c>
      <c r="Q7">
        <v>155.35</v>
      </c>
      <c r="R7" s="3">
        <f t="shared" si="0"/>
        <v>19.007511385588373</v>
      </c>
      <c r="S7">
        <v>199.96</v>
      </c>
      <c r="T7" s="3">
        <f>SUM(S7*0.03)</f>
        <v>5.9988000000000001</v>
      </c>
    </row>
    <row r="8" spans="1:20" x14ac:dyDescent="0.2">
      <c r="A8" s="1" t="s">
        <v>7</v>
      </c>
      <c r="B8" s="3">
        <v>506053.68</v>
      </c>
      <c r="C8" s="3"/>
      <c r="D8" s="3">
        <v>407849.62</v>
      </c>
      <c r="E8" s="3"/>
      <c r="F8" s="3">
        <v>53834.75</v>
      </c>
      <c r="G8" s="3"/>
      <c r="H8" s="3">
        <v>79417.83</v>
      </c>
      <c r="I8" s="3"/>
      <c r="J8" s="3">
        <v>145984.04</v>
      </c>
      <c r="K8" s="3"/>
      <c r="L8" s="3">
        <v>21099.87</v>
      </c>
      <c r="N8" s="3">
        <v>1742.65</v>
      </c>
      <c r="O8" s="14">
        <f>SUM(B11/(SUM(B11:J11)))</f>
        <v>0.43487421686978794</v>
      </c>
      <c r="P8" s="1" t="s">
        <v>16</v>
      </c>
      <c r="Q8">
        <v>98.19</v>
      </c>
      <c r="R8" s="3">
        <f t="shared" si="0"/>
        <v>42.700299354444475</v>
      </c>
      <c r="S8">
        <v>24.79</v>
      </c>
      <c r="T8" s="3">
        <f>SUM(S8*0.34)</f>
        <v>8.4286000000000012</v>
      </c>
    </row>
    <row r="9" spans="1:20" x14ac:dyDescent="0.2">
      <c r="A9" s="5" t="s">
        <v>8</v>
      </c>
      <c r="B9" s="3">
        <v>76871.539999999994</v>
      </c>
      <c r="C9" s="3"/>
      <c r="D9" s="3">
        <v>1125.27</v>
      </c>
      <c r="E9" s="3"/>
      <c r="F9" s="3">
        <v>601.41999999999996</v>
      </c>
      <c r="G9" s="3"/>
      <c r="H9" s="3">
        <v>112.68</v>
      </c>
      <c r="I9" s="3"/>
      <c r="J9" s="3">
        <v>0</v>
      </c>
      <c r="K9" s="3"/>
      <c r="L9" s="3">
        <v>4917.93</v>
      </c>
      <c r="N9" s="3">
        <v>0</v>
      </c>
      <c r="O9" s="14">
        <f>SUM(D11/(SUM(B11:J11)))</f>
        <v>0.28655132396146743</v>
      </c>
      <c r="P9" s="1" t="s">
        <v>17</v>
      </c>
      <c r="Q9">
        <v>98.19</v>
      </c>
      <c r="R9" s="3">
        <f t="shared" si="0"/>
        <v>28.136474499776487</v>
      </c>
      <c r="S9">
        <v>24.79</v>
      </c>
      <c r="T9" s="3">
        <f>SUM(S9*0.63)</f>
        <v>15.617699999999999</v>
      </c>
    </row>
    <row r="10" spans="1:20" x14ac:dyDescent="0.2">
      <c r="A10" s="5" t="s">
        <v>9</v>
      </c>
      <c r="B10" s="3">
        <v>195971.65</v>
      </c>
      <c r="C10" s="3"/>
      <c r="D10" s="3">
        <v>153999.88</v>
      </c>
      <c r="E10" s="3"/>
      <c r="F10" s="3">
        <v>32073.57</v>
      </c>
      <c r="G10" s="3"/>
      <c r="H10" s="3">
        <v>0</v>
      </c>
      <c r="I10" s="3"/>
      <c r="J10" s="3">
        <v>0</v>
      </c>
      <c r="K10" s="3"/>
      <c r="L10" s="3">
        <v>8003.94</v>
      </c>
      <c r="N10" s="3">
        <v>1431.98</v>
      </c>
      <c r="O10" s="14">
        <f>SUM(F11/(SUM(B11:J11)))</f>
        <v>2.5132002690070335E-2</v>
      </c>
      <c r="P10" s="1" t="s">
        <v>18</v>
      </c>
      <c r="Q10">
        <v>98.19</v>
      </c>
      <c r="R10" s="3">
        <f t="shared" si="0"/>
        <v>2.4677113441380061</v>
      </c>
    </row>
    <row r="11" spans="1:20" x14ac:dyDescent="0.2">
      <c r="A11" s="1" t="s">
        <v>10</v>
      </c>
      <c r="B11" s="3">
        <f>SUM(B8+B9-B10)</f>
        <v>386953.56999999995</v>
      </c>
      <c r="C11" s="3"/>
      <c r="D11" s="3">
        <f>SUM(D8+D9-D10)</f>
        <v>254975.01</v>
      </c>
      <c r="E11" s="3"/>
      <c r="F11" s="3">
        <f>SUM(F8+F9-F10)</f>
        <v>22362.6</v>
      </c>
      <c r="G11" s="3"/>
      <c r="H11" s="3">
        <f>SUM(H8+H9-H10)</f>
        <v>79530.509999999995</v>
      </c>
      <c r="I11" s="3"/>
      <c r="J11" s="3">
        <f>SUM(J8+J9-J10)</f>
        <v>145984.04</v>
      </c>
      <c r="K11" s="3"/>
      <c r="L11" s="3">
        <f>SUM(L8+L9-L10)</f>
        <v>18013.86</v>
      </c>
      <c r="N11" s="3">
        <f>SUM(N8+N9-N10)</f>
        <v>310.67000000000007</v>
      </c>
      <c r="O11" s="14">
        <f>SUM(H11/(SUM(B11:J11)))</f>
        <v>8.9379633462238997E-2</v>
      </c>
      <c r="P11" s="1" t="s">
        <v>19</v>
      </c>
      <c r="Q11">
        <v>98.19</v>
      </c>
      <c r="R11" s="3">
        <f t="shared" si="0"/>
        <v>8.7761862096572472</v>
      </c>
    </row>
    <row r="12" spans="1:20" x14ac:dyDescent="0.2">
      <c r="A12" s="4">
        <v>42248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0.16406282301643529</v>
      </c>
      <c r="P12" s="1" t="s">
        <v>20</v>
      </c>
      <c r="Q12">
        <v>98.19</v>
      </c>
      <c r="R12" s="3">
        <f t="shared" si="0"/>
        <v>16.109328591983783</v>
      </c>
      <c r="S12">
        <v>24.79</v>
      </c>
      <c r="T12" s="3">
        <f>SUM(S12*0.03)</f>
        <v>0.74369999999999992</v>
      </c>
    </row>
    <row r="13" spans="1:20" x14ac:dyDescent="0.2">
      <c r="A13" s="1" t="s">
        <v>7</v>
      </c>
      <c r="B13" s="3">
        <v>386953.57</v>
      </c>
      <c r="C13" s="3"/>
      <c r="D13" s="3">
        <v>254975.01</v>
      </c>
      <c r="E13" s="3"/>
      <c r="F13" s="3">
        <v>22362.6</v>
      </c>
      <c r="G13" s="3"/>
      <c r="H13" s="3">
        <v>79530.509999999995</v>
      </c>
      <c r="I13" s="3"/>
      <c r="J13" s="3">
        <v>145984.04</v>
      </c>
      <c r="K13" s="3"/>
      <c r="L13" s="3">
        <v>18013.86</v>
      </c>
      <c r="N13" s="3">
        <v>310.67</v>
      </c>
      <c r="O13" s="14">
        <f>SUM(B16/(SUM(B16:J16)))</f>
        <v>0.31574238384025199</v>
      </c>
      <c r="P13" s="1" t="s">
        <v>16</v>
      </c>
      <c r="Q13">
        <v>59.25</v>
      </c>
      <c r="R13" s="3">
        <f t="shared" si="0"/>
        <v>18.707736242534931</v>
      </c>
      <c r="S13">
        <v>25.21</v>
      </c>
      <c r="T13" s="3">
        <f>SUM(S13*0.34)</f>
        <v>8.5714000000000006</v>
      </c>
    </row>
    <row r="14" spans="1:20" x14ac:dyDescent="0.2">
      <c r="A14" s="5" t="s">
        <v>8</v>
      </c>
      <c r="B14" s="3">
        <v>42558.8</v>
      </c>
      <c r="C14" s="3"/>
      <c r="D14" s="3">
        <v>2880.33</v>
      </c>
      <c r="E14" s="3"/>
      <c r="F14" s="3">
        <v>234.12</v>
      </c>
      <c r="G14" s="3"/>
      <c r="H14" s="3">
        <v>18.760000000000002</v>
      </c>
      <c r="I14" s="3"/>
      <c r="J14" s="3">
        <v>0</v>
      </c>
      <c r="K14" s="3"/>
      <c r="L14" s="3">
        <v>10897.62</v>
      </c>
      <c r="N14" s="3">
        <v>0</v>
      </c>
      <c r="O14" s="14">
        <f>SUM(D16/(SUM(B16:J16)))</f>
        <v>0.36912069613099313</v>
      </c>
      <c r="P14" s="1" t="s">
        <v>17</v>
      </c>
      <c r="Q14">
        <v>59.25</v>
      </c>
      <c r="R14" s="3">
        <f t="shared" si="0"/>
        <v>21.870401245761343</v>
      </c>
      <c r="S14">
        <v>25.21</v>
      </c>
      <c r="T14" s="3">
        <f>SUM(S14*0.63)</f>
        <v>15.882300000000001</v>
      </c>
    </row>
    <row r="15" spans="1:20" x14ac:dyDescent="0.2">
      <c r="A15" s="5" t="s">
        <v>9</v>
      </c>
      <c r="B15" s="3">
        <v>217553.39</v>
      </c>
      <c r="C15" s="3"/>
      <c r="D15" s="3">
        <v>10063.31</v>
      </c>
      <c r="E15" s="3"/>
      <c r="F15" s="3">
        <v>36577.5</v>
      </c>
      <c r="G15" s="3"/>
      <c r="H15" s="3">
        <v>0</v>
      </c>
      <c r="I15" s="3"/>
      <c r="J15" s="3">
        <v>0</v>
      </c>
      <c r="K15" s="3"/>
      <c r="L15" s="3">
        <v>18765.060000000001</v>
      </c>
      <c r="N15" s="3">
        <v>0</v>
      </c>
      <c r="O15" s="14">
        <f>SUM(F16/(SUM(B16:J16)))</f>
        <v>-2.0826316512497462E-2</v>
      </c>
      <c r="P15" s="1" t="s">
        <v>18</v>
      </c>
      <c r="Q15">
        <v>59.25</v>
      </c>
      <c r="R15" s="3">
        <f t="shared" si="0"/>
        <v>-1.2339592533654746</v>
      </c>
    </row>
    <row r="16" spans="1:20" x14ac:dyDescent="0.2">
      <c r="A16" s="1" t="s">
        <v>10</v>
      </c>
      <c r="B16" s="3">
        <f>SUM(B13+B14-B15)</f>
        <v>211958.97999999998</v>
      </c>
      <c r="C16" s="3"/>
      <c r="D16" s="3">
        <f>SUM(D13+D14-D15)</f>
        <v>247792.03</v>
      </c>
      <c r="E16" s="3"/>
      <c r="F16" s="3">
        <f>SUM(F13+F14-F15)</f>
        <v>-13980.780000000002</v>
      </c>
      <c r="G16" s="3"/>
      <c r="H16" s="3">
        <f>SUM(H13+H14-H15)</f>
        <v>79549.26999999999</v>
      </c>
      <c r="I16" s="3"/>
      <c r="J16" s="3">
        <f>SUM(J13+J14-J15)</f>
        <v>145984.04</v>
      </c>
      <c r="K16" s="3"/>
      <c r="L16" s="3">
        <f>SUM(L13+L14-L15)</f>
        <v>10146.420000000002</v>
      </c>
      <c r="N16" s="3">
        <f>SUM(N13+N14-N15)</f>
        <v>310.67</v>
      </c>
      <c r="O16" s="14">
        <f>SUM(H16/(SUM(B16:J16)))</f>
        <v>0.11849970283189626</v>
      </c>
      <c r="P16" s="1" t="s">
        <v>19</v>
      </c>
      <c r="Q16">
        <v>59.25</v>
      </c>
      <c r="R16" s="3">
        <f t="shared" si="0"/>
        <v>7.0211073927898537</v>
      </c>
    </row>
    <row r="17" spans="1:20" x14ac:dyDescent="0.2">
      <c r="A17" s="4">
        <v>42278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0.21746353370935598</v>
      </c>
      <c r="P17" s="1" t="s">
        <v>20</v>
      </c>
      <c r="Q17">
        <v>59.25</v>
      </c>
      <c r="R17" s="3">
        <f t="shared" si="0"/>
        <v>12.884714372279342</v>
      </c>
      <c r="S17">
        <v>25.21</v>
      </c>
      <c r="T17" s="3">
        <f>SUM(S17*0.03)</f>
        <v>0.75629999999999997</v>
      </c>
    </row>
    <row r="18" spans="1:20" x14ac:dyDescent="0.2">
      <c r="A18" s="1" t="s">
        <v>7</v>
      </c>
      <c r="B18" s="3">
        <v>211958.98</v>
      </c>
      <c r="C18" s="3"/>
      <c r="D18" s="3">
        <v>247792.03</v>
      </c>
      <c r="E18" s="3"/>
      <c r="F18" s="3">
        <v>-13980.78</v>
      </c>
      <c r="G18" s="3"/>
      <c r="H18" s="3">
        <v>79549.27</v>
      </c>
      <c r="I18" s="3"/>
      <c r="J18" s="3">
        <v>145984.04</v>
      </c>
      <c r="K18" s="3"/>
      <c r="L18" s="3">
        <v>10146.42</v>
      </c>
      <c r="N18" s="3">
        <v>310.67</v>
      </c>
      <c r="O18" s="14">
        <f>SUM(B21/(SUM(B21:J21)))</f>
        <v>0.31355867714174873</v>
      </c>
      <c r="P18" s="1" t="s">
        <v>16</v>
      </c>
      <c r="Q18">
        <v>37.71</v>
      </c>
      <c r="R18" s="3">
        <f t="shared" si="0"/>
        <v>11.824297715015344</v>
      </c>
      <c r="S18">
        <v>18.8</v>
      </c>
      <c r="T18" s="3">
        <f>SUM(S18*0.34)</f>
        <v>6.3920000000000003</v>
      </c>
    </row>
    <row r="19" spans="1:20" x14ac:dyDescent="0.2">
      <c r="A19" s="5" t="s">
        <v>8</v>
      </c>
      <c r="B19" s="3">
        <v>144070.03</v>
      </c>
      <c r="C19" s="3"/>
      <c r="D19" s="3">
        <v>7644.03</v>
      </c>
      <c r="E19" s="3"/>
      <c r="F19" s="3">
        <v>4460.22</v>
      </c>
      <c r="G19" s="3"/>
      <c r="H19" s="3">
        <v>765.28</v>
      </c>
      <c r="I19" s="3"/>
      <c r="J19" s="3">
        <v>0</v>
      </c>
      <c r="K19" s="3"/>
      <c r="L19" s="3">
        <v>24231.63</v>
      </c>
      <c r="N19" s="3">
        <v>0</v>
      </c>
      <c r="O19" s="14">
        <f>SUM(D21/(SUM(B21:J21)))</f>
        <v>0.31007730700873409</v>
      </c>
      <c r="P19" s="1" t="s">
        <v>17</v>
      </c>
      <c r="Q19">
        <v>37.71</v>
      </c>
      <c r="R19" s="3">
        <f t="shared" si="0"/>
        <v>11.693015247299362</v>
      </c>
      <c r="S19">
        <v>18.8</v>
      </c>
      <c r="T19" s="3">
        <f>SUM(S19*0.63)</f>
        <v>11.844000000000001</v>
      </c>
    </row>
    <row r="20" spans="1:20" x14ac:dyDescent="0.2">
      <c r="A20" s="5" t="s">
        <v>9</v>
      </c>
      <c r="B20" s="3">
        <v>209298.07</v>
      </c>
      <c r="C20" s="3"/>
      <c r="D20" s="3">
        <v>110334.24</v>
      </c>
      <c r="E20" s="3"/>
      <c r="F20" s="3">
        <v>40657.1</v>
      </c>
      <c r="G20" s="3"/>
      <c r="H20" s="3">
        <v>0</v>
      </c>
      <c r="I20" s="3"/>
      <c r="J20" s="3">
        <v>0</v>
      </c>
      <c r="K20" s="3"/>
      <c r="L20" s="3">
        <v>17429.98</v>
      </c>
      <c r="N20" s="3">
        <v>0</v>
      </c>
      <c r="O20" s="14">
        <f>SUM(F21/(SUM(B21:J21)))</f>
        <v>-0.10722783273703856</v>
      </c>
      <c r="P20" s="1" t="s">
        <v>18</v>
      </c>
      <c r="Q20">
        <v>37.71</v>
      </c>
      <c r="R20" s="3">
        <f t="shared" si="0"/>
        <v>-4.0435615725137239</v>
      </c>
    </row>
    <row r="21" spans="1:20" x14ac:dyDescent="0.2">
      <c r="A21" s="1" t="s">
        <v>10</v>
      </c>
      <c r="B21" s="3">
        <f>SUM(B18+B19-B20)</f>
        <v>146730.94</v>
      </c>
      <c r="C21" s="3"/>
      <c r="D21" s="3">
        <f>SUM(D18+D19-D20)</f>
        <v>145101.82</v>
      </c>
      <c r="E21" s="3"/>
      <c r="F21" s="3">
        <f>SUM(F18+F19-F20)</f>
        <v>-50177.66</v>
      </c>
      <c r="G21" s="3"/>
      <c r="H21" s="3">
        <f>SUM(H18+H19-H20)</f>
        <v>80314.55</v>
      </c>
      <c r="I21" s="3"/>
      <c r="J21" s="3">
        <f>SUM(J18+J19-J20)</f>
        <v>145984.04</v>
      </c>
      <c r="K21" s="3"/>
      <c r="L21" s="3">
        <f>SUM(L18+L19-L20)</f>
        <v>16948.070000000003</v>
      </c>
      <c r="N21" s="3">
        <f>SUM(N18+N19-N20)</f>
        <v>310.67</v>
      </c>
      <c r="O21" s="14">
        <f>SUM(H21/(SUM(B21:J21)))</f>
        <v>0.17162926955442961</v>
      </c>
      <c r="P21" s="1" t="s">
        <v>19</v>
      </c>
      <c r="Q21">
        <v>37.71</v>
      </c>
      <c r="R21" s="3">
        <f t="shared" si="0"/>
        <v>6.4721397548975412</v>
      </c>
    </row>
    <row r="22" spans="1:20" x14ac:dyDescent="0.2">
      <c r="A22" s="4">
        <v>42309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0.31196257903212599</v>
      </c>
      <c r="P22" s="1" t="s">
        <v>20</v>
      </c>
      <c r="Q22">
        <v>37.71</v>
      </c>
      <c r="R22" s="3">
        <f t="shared" si="0"/>
        <v>11.764108855301471</v>
      </c>
      <c r="S22">
        <v>18.8</v>
      </c>
      <c r="T22" s="3">
        <f>SUM(S22*0.03)</f>
        <v>0.56399999999999995</v>
      </c>
    </row>
    <row r="23" spans="1:20" x14ac:dyDescent="0.2">
      <c r="A23" s="1" t="s">
        <v>7</v>
      </c>
      <c r="B23" s="3">
        <v>146730.94</v>
      </c>
      <c r="C23" s="3"/>
      <c r="D23" s="3">
        <v>145101.82</v>
      </c>
      <c r="E23" s="3"/>
      <c r="F23" s="3">
        <v>-50177.66</v>
      </c>
      <c r="G23" s="3"/>
      <c r="H23" s="3">
        <v>80314.55</v>
      </c>
      <c r="I23" s="3"/>
      <c r="J23" s="3">
        <v>145984.04</v>
      </c>
      <c r="K23" s="3"/>
      <c r="L23" s="3">
        <v>16948.07</v>
      </c>
      <c r="N23" s="3">
        <v>310.67</v>
      </c>
      <c r="O23" s="14">
        <f>SUM(B26/(SUM(B26:J26)))</f>
        <v>0.38102447006974527</v>
      </c>
      <c r="P23" s="1" t="s">
        <v>16</v>
      </c>
      <c r="Q23">
        <v>47.04</v>
      </c>
      <c r="R23" s="3">
        <f t="shared" si="0"/>
        <v>17.923391072080818</v>
      </c>
      <c r="S23">
        <v>88.22</v>
      </c>
      <c r="T23" s="3">
        <f>SUM(S23*0.34)</f>
        <v>29.994800000000001</v>
      </c>
    </row>
    <row r="24" spans="1:20" x14ac:dyDescent="0.2">
      <c r="A24" s="5" t="s">
        <v>8</v>
      </c>
      <c r="B24" s="3">
        <v>342991.78</v>
      </c>
      <c r="C24" s="3"/>
      <c r="D24" s="3">
        <v>239075.6</v>
      </c>
      <c r="E24" s="3"/>
      <c r="F24" s="3">
        <v>127890.8</v>
      </c>
      <c r="G24" s="3"/>
      <c r="H24" s="3">
        <v>23941.88</v>
      </c>
      <c r="I24" s="3"/>
      <c r="J24" s="3">
        <v>0</v>
      </c>
      <c r="K24" s="3"/>
      <c r="L24" s="3">
        <v>9718.65</v>
      </c>
      <c r="N24" s="3">
        <v>0</v>
      </c>
      <c r="O24" s="14">
        <f>SUM(D26/(SUM(B26:J26)))</f>
        <v>0.14081208434176279</v>
      </c>
      <c r="P24" s="1" t="s">
        <v>17</v>
      </c>
      <c r="Q24">
        <v>47.04</v>
      </c>
      <c r="R24" s="3">
        <f t="shared" si="0"/>
        <v>6.6238004474365217</v>
      </c>
      <c r="S24">
        <v>88.22</v>
      </c>
      <c r="T24" s="3">
        <f>SUM(S24*0.63)</f>
        <v>55.578600000000002</v>
      </c>
    </row>
    <row r="25" spans="1:20" x14ac:dyDescent="0.2">
      <c r="A25" s="5" t="s">
        <v>9</v>
      </c>
      <c r="B25" s="3">
        <v>258045.71</v>
      </c>
      <c r="C25" s="3"/>
      <c r="D25" s="3">
        <v>298558.45</v>
      </c>
      <c r="E25" s="3"/>
      <c r="F25" s="3">
        <v>36282.5</v>
      </c>
      <c r="G25" s="3"/>
      <c r="H25" s="3">
        <v>0</v>
      </c>
      <c r="I25" s="3"/>
      <c r="J25" s="3">
        <v>930</v>
      </c>
      <c r="K25" s="3"/>
      <c r="L25" s="3">
        <v>16538.73</v>
      </c>
      <c r="N25" s="3">
        <v>0</v>
      </c>
      <c r="O25" s="14">
        <f>SUM(F26/(SUM(B26:J26)))</f>
        <v>6.8138343336917151E-2</v>
      </c>
      <c r="P25" s="1" t="s">
        <v>18</v>
      </c>
      <c r="Q25">
        <v>47.04</v>
      </c>
      <c r="R25" s="3">
        <f t="shared" si="0"/>
        <v>3.2052276705685827</v>
      </c>
    </row>
    <row r="26" spans="1:20" x14ac:dyDescent="0.2">
      <c r="A26" s="1" t="s">
        <v>10</v>
      </c>
      <c r="B26" s="3">
        <f>SUM(B23+B24-B25)</f>
        <v>231677.01000000004</v>
      </c>
      <c r="C26" s="3"/>
      <c r="D26" s="3">
        <f>SUM(D23+D24-D25)</f>
        <v>85618.97000000003</v>
      </c>
      <c r="E26" s="3"/>
      <c r="F26" s="3">
        <f>SUM(F23+F24-F25)</f>
        <v>41430.639999999999</v>
      </c>
      <c r="G26" s="3"/>
      <c r="H26" s="3">
        <f>SUM(H23+H24-H25)</f>
        <v>104256.43000000001</v>
      </c>
      <c r="I26" s="3"/>
      <c r="J26" s="3">
        <f>SUM(J23+J24-J25)</f>
        <v>145054.04</v>
      </c>
      <c r="K26" s="3"/>
      <c r="L26" s="3">
        <f>SUM(L23+L24-L25)</f>
        <v>10127.990000000002</v>
      </c>
      <c r="N26" s="3">
        <f>SUM(N23+N24-N25)</f>
        <v>310.67</v>
      </c>
      <c r="O26" s="14">
        <f>SUM(H26/(SUM(B26:J26)))</f>
        <v>0.17146393158351572</v>
      </c>
      <c r="P26" s="1" t="s">
        <v>19</v>
      </c>
      <c r="Q26">
        <v>47.04</v>
      </c>
      <c r="R26" s="3">
        <f t="shared" si="0"/>
        <v>8.0656633416885786</v>
      </c>
    </row>
    <row r="27" spans="1:20" x14ac:dyDescent="0.2">
      <c r="A27" s="4">
        <v>42339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0.23856117066805907</v>
      </c>
      <c r="P27" s="1" t="s">
        <v>20</v>
      </c>
      <c r="Q27">
        <v>47.04</v>
      </c>
      <c r="R27" s="3">
        <f t="shared" si="0"/>
        <v>11.221917468225499</v>
      </c>
      <c r="S27">
        <v>88.22</v>
      </c>
      <c r="T27" s="3">
        <f>SUM(S27*0.03)</f>
        <v>2.6465999999999998</v>
      </c>
    </row>
    <row r="28" spans="1:20" x14ac:dyDescent="0.2">
      <c r="A28" s="1" t="s">
        <v>7</v>
      </c>
      <c r="B28" s="3">
        <v>231677.01</v>
      </c>
      <c r="C28" s="3"/>
      <c r="D28" s="3">
        <v>85618.97</v>
      </c>
      <c r="E28" s="3"/>
      <c r="F28" s="3">
        <v>41430.639999999999</v>
      </c>
      <c r="G28" s="3"/>
      <c r="H28" s="3">
        <v>104256.43</v>
      </c>
      <c r="I28" s="3"/>
      <c r="J28" s="3">
        <v>145054.04</v>
      </c>
      <c r="K28" s="3"/>
      <c r="L28" s="3">
        <v>10127.99</v>
      </c>
      <c r="N28" s="3">
        <v>310.67</v>
      </c>
      <c r="O28" s="14">
        <f>SUM(B31/(SUM(B31:J31)))</f>
        <v>0.39715007199595148</v>
      </c>
      <c r="P28" s="1" t="s">
        <v>16</v>
      </c>
      <c r="Q28">
        <v>62.18</v>
      </c>
      <c r="R28" s="3">
        <f t="shared" si="0"/>
        <v>24.694791476708264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321968.90000000002</v>
      </c>
      <c r="C29" s="3"/>
      <c r="D29" s="3">
        <v>120629.2</v>
      </c>
      <c r="E29" s="3"/>
      <c r="F29" s="3">
        <v>64906.32</v>
      </c>
      <c r="G29" s="3"/>
      <c r="H29" s="3">
        <v>12080.21</v>
      </c>
      <c r="I29" s="3"/>
      <c r="J29" s="3">
        <v>0</v>
      </c>
      <c r="K29" s="3"/>
      <c r="L29" s="3">
        <v>20757.52</v>
      </c>
      <c r="N29" s="3">
        <v>0</v>
      </c>
      <c r="O29" s="14">
        <f>SUM(D31/(SUM(B31:J31)))</f>
        <v>0.22968913602155819</v>
      </c>
      <c r="P29" s="1" t="s">
        <v>17</v>
      </c>
      <c r="Q29">
        <v>62.18</v>
      </c>
      <c r="R29" s="3">
        <f t="shared" si="0"/>
        <v>14.282070477820488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199464.66</v>
      </c>
      <c r="C30" s="3"/>
      <c r="D30" s="3">
        <v>1409.77</v>
      </c>
      <c r="E30" s="3"/>
      <c r="F30" s="3">
        <v>34940.199999999997</v>
      </c>
      <c r="G30" s="3"/>
      <c r="H30" s="3">
        <v>0</v>
      </c>
      <c r="I30" s="3"/>
      <c r="J30" s="3">
        <v>0</v>
      </c>
      <c r="K30" s="3"/>
      <c r="L30" s="3">
        <v>9793.5</v>
      </c>
      <c r="N30" s="3">
        <v>0</v>
      </c>
      <c r="O30" s="14">
        <f>SUM(F31/(SUM(B31:J31)))</f>
        <v>8.0058524764587802E-2</v>
      </c>
      <c r="P30" s="1" t="s">
        <v>18</v>
      </c>
      <c r="Q30">
        <v>62.18</v>
      </c>
      <c r="R30" s="3">
        <f t="shared" si="0"/>
        <v>4.9780390698620698</v>
      </c>
    </row>
    <row r="31" spans="1:20" x14ac:dyDescent="0.2">
      <c r="A31" s="1" t="s">
        <v>10</v>
      </c>
      <c r="B31" s="3">
        <f>SUM(B28+B29-B30)</f>
        <v>354181.25</v>
      </c>
      <c r="C31" s="3"/>
      <c r="D31" s="3">
        <f>SUM(D28+D29-D30)</f>
        <v>204838.39999999999</v>
      </c>
      <c r="E31" s="3"/>
      <c r="F31" s="3">
        <f>SUM(F28+F29-F30)</f>
        <v>71396.759999999995</v>
      </c>
      <c r="G31" s="3"/>
      <c r="H31" s="3">
        <f>SUM(H28+H29-H30)</f>
        <v>116336.63999999998</v>
      </c>
      <c r="I31" s="3"/>
      <c r="J31" s="3">
        <f>SUM(J28+J29-J30)</f>
        <v>145054.04</v>
      </c>
      <c r="K31" s="3"/>
      <c r="L31" s="3">
        <f>SUM(L28+L29-L30)</f>
        <v>21092.010000000002</v>
      </c>
      <c r="N31" s="3">
        <f>SUM(N28+N29-N30)</f>
        <v>310.67</v>
      </c>
      <c r="O31" s="14">
        <f>SUM(H31/(SUM(B31:J31)))</f>
        <v>0.13045045425687293</v>
      </c>
      <c r="P31" s="1" t="s">
        <v>19</v>
      </c>
      <c r="Q31">
        <v>62.18</v>
      </c>
      <c r="R31" s="3">
        <f t="shared" si="0"/>
        <v>8.111409245692359</v>
      </c>
    </row>
    <row r="32" spans="1:20" x14ac:dyDescent="0.2">
      <c r="A32" s="4">
        <v>42370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0.16265181296102948</v>
      </c>
      <c r="P32" s="1" t="s">
        <v>20</v>
      </c>
      <c r="Q32">
        <v>62.18</v>
      </c>
      <c r="R32" s="3">
        <f t="shared" si="0"/>
        <v>10.113689729916814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354181.25</v>
      </c>
      <c r="C33" s="3"/>
      <c r="D33" s="3">
        <v>204838.39999999999</v>
      </c>
      <c r="E33" s="3"/>
      <c r="F33" s="3">
        <v>71396.759999999995</v>
      </c>
      <c r="G33" s="3"/>
      <c r="H33" s="3">
        <v>116336.64</v>
      </c>
      <c r="I33" s="3"/>
      <c r="J33" s="3">
        <v>145054.04</v>
      </c>
      <c r="K33" s="3"/>
      <c r="L33" s="3">
        <v>21092.01</v>
      </c>
      <c r="N33" s="3">
        <v>310.67</v>
      </c>
      <c r="O33" s="14">
        <f>SUM(B36/(SUM(B36:J36)))</f>
        <v>0.38360556521355776</v>
      </c>
      <c r="P33" s="1" t="s">
        <v>16</v>
      </c>
      <c r="Q33">
        <v>60.36</v>
      </c>
      <c r="R33" s="3">
        <f t="shared" si="0"/>
        <v>23.154431916290346</v>
      </c>
      <c r="S33">
        <v>202.9</v>
      </c>
      <c r="T33" s="3">
        <f>SUM(S33*0.34)</f>
        <v>68.986000000000004</v>
      </c>
    </row>
    <row r="34" spans="1:20" x14ac:dyDescent="0.2">
      <c r="A34" s="5" t="s">
        <v>8</v>
      </c>
      <c r="B34" s="3">
        <v>195089.13</v>
      </c>
      <c r="C34" s="3"/>
      <c r="D34" s="3">
        <v>37280.019999999997</v>
      </c>
      <c r="E34" s="3"/>
      <c r="F34" s="3">
        <v>3130.67</v>
      </c>
      <c r="G34" s="3"/>
      <c r="H34" s="3">
        <v>440.01</v>
      </c>
      <c r="I34" s="3"/>
      <c r="J34" s="3">
        <v>0</v>
      </c>
      <c r="K34" s="3"/>
      <c r="L34" s="3">
        <v>15613.27</v>
      </c>
      <c r="N34" s="3">
        <v>0</v>
      </c>
      <c r="O34" s="14">
        <f>SUM(D36/(SUM(B36:J36)))</f>
        <v>0.27381317721219206</v>
      </c>
      <c r="P34" s="1" t="s">
        <v>17</v>
      </c>
      <c r="Q34">
        <v>60.36</v>
      </c>
      <c r="R34" s="3">
        <f t="shared" si="0"/>
        <v>16.527363376527912</v>
      </c>
      <c r="S34">
        <v>202.9</v>
      </c>
      <c r="T34" s="3">
        <f>SUM(S34*0.63)</f>
        <v>127.827</v>
      </c>
    </row>
    <row r="35" spans="1:20" x14ac:dyDescent="0.2">
      <c r="A35" s="5" t="s">
        <v>9</v>
      </c>
      <c r="B35" s="3">
        <v>213746.88</v>
      </c>
      <c r="C35" s="3"/>
      <c r="D35" s="3">
        <v>2625.66</v>
      </c>
      <c r="E35" s="3"/>
      <c r="F35" s="3">
        <v>36716.839999999997</v>
      </c>
      <c r="G35" s="3"/>
      <c r="H35" s="3">
        <v>0</v>
      </c>
      <c r="I35" s="3"/>
      <c r="J35" s="3">
        <v>0</v>
      </c>
      <c r="K35" s="3"/>
      <c r="L35" s="3">
        <v>15845.41</v>
      </c>
      <c r="N35" s="3">
        <v>0</v>
      </c>
      <c r="O35" s="14">
        <f>SUM(F36/(SUM(B36:J36)))</f>
        <v>4.3229021955267198E-2</v>
      </c>
      <c r="P35" s="1" t="s">
        <v>18</v>
      </c>
      <c r="Q35">
        <v>60.36</v>
      </c>
      <c r="R35" s="3">
        <f t="shared" si="0"/>
        <v>2.609303765219928</v>
      </c>
    </row>
    <row r="36" spans="1:20" x14ac:dyDescent="0.2">
      <c r="A36" s="1" t="s">
        <v>10</v>
      </c>
      <c r="B36" s="3">
        <f>SUM(B33+B34-B35)</f>
        <v>335523.5</v>
      </c>
      <c r="C36" s="3"/>
      <c r="D36" s="3">
        <f>SUM(D33+D34-D35)</f>
        <v>239492.75999999998</v>
      </c>
      <c r="E36" s="3"/>
      <c r="F36" s="3">
        <f>SUM(F33+F34-F35)</f>
        <v>37810.589999999997</v>
      </c>
      <c r="G36" s="3"/>
      <c r="H36" s="3">
        <f>SUM(H33+H34-H35)</f>
        <v>116776.65</v>
      </c>
      <c r="I36" s="3"/>
      <c r="J36" s="3">
        <f>SUM(J33+J34-J35)</f>
        <v>145054.04</v>
      </c>
      <c r="K36" s="3"/>
      <c r="L36" s="3">
        <f>SUM(L33+L34-L35)</f>
        <v>20859.87</v>
      </c>
      <c r="N36" s="3">
        <f>SUM(N33+N34-N35)</f>
        <v>310.67</v>
      </c>
      <c r="O36" s="14">
        <f>SUM(H36/(SUM(B36:J36)))</f>
        <v>0.13351128259867284</v>
      </c>
      <c r="P36" s="1" t="s">
        <v>19</v>
      </c>
      <c r="Q36">
        <v>60.36</v>
      </c>
      <c r="R36" s="3">
        <f t="shared" si="0"/>
        <v>8.0587410176558922</v>
      </c>
    </row>
    <row r="37" spans="1:20" x14ac:dyDescent="0.2">
      <c r="A37" s="4">
        <v>42401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>
        <f>SUM(J36/(SUM(B36:J36)))</f>
        <v>0.1658409530203101</v>
      </c>
      <c r="P37" s="1" t="s">
        <v>20</v>
      </c>
      <c r="Q37">
        <v>60.36</v>
      </c>
      <c r="R37" s="3">
        <f t="shared" si="0"/>
        <v>10.010159924305917</v>
      </c>
      <c r="S37">
        <v>202.9</v>
      </c>
      <c r="T37" s="3">
        <f>SUM(S37*0.03)</f>
        <v>6.0869999999999997</v>
      </c>
    </row>
    <row r="38" spans="1:20" x14ac:dyDescent="0.2">
      <c r="A38" s="1" t="s">
        <v>7</v>
      </c>
      <c r="B38" s="3">
        <v>335523.5</v>
      </c>
      <c r="C38" s="3"/>
      <c r="D38" s="3">
        <v>239492.76</v>
      </c>
      <c r="E38" s="3"/>
      <c r="F38" s="3">
        <v>37810.589999999997</v>
      </c>
      <c r="G38" s="3"/>
      <c r="H38" s="3">
        <v>116776.65</v>
      </c>
      <c r="I38" s="3"/>
      <c r="J38" s="3">
        <v>145054.04</v>
      </c>
      <c r="K38" s="3"/>
      <c r="L38" s="3">
        <v>20859.87</v>
      </c>
      <c r="N38" s="3">
        <v>310.67</v>
      </c>
      <c r="O38" s="14">
        <f>SUM(B41/(SUM(B41:J41)))</f>
        <v>0.27498439762960031</v>
      </c>
      <c r="P38" s="1" t="s">
        <v>16</v>
      </c>
      <c r="Q38">
        <v>54.02</v>
      </c>
      <c r="R38" s="3">
        <f t="shared" si="0"/>
        <v>14.85465715995101</v>
      </c>
      <c r="S38">
        <v>25.21</v>
      </c>
      <c r="T38" s="3">
        <f>SUM(S38*0.34)</f>
        <v>8.5714000000000006</v>
      </c>
    </row>
    <row r="39" spans="1:20" x14ac:dyDescent="0.2">
      <c r="A39" s="5" t="s">
        <v>8</v>
      </c>
      <c r="B39" s="3">
        <v>94459.44</v>
      </c>
      <c r="C39" s="3"/>
      <c r="D39" s="3">
        <v>24136.39</v>
      </c>
      <c r="E39" s="3"/>
      <c r="F39" s="3">
        <v>11527.47</v>
      </c>
      <c r="G39" s="3"/>
      <c r="H39" s="3">
        <v>2413.64</v>
      </c>
      <c r="I39" s="3"/>
      <c r="J39" s="3">
        <v>0</v>
      </c>
      <c r="K39" s="3"/>
      <c r="L39" s="3">
        <v>17251.830000000002</v>
      </c>
      <c r="N39" s="3">
        <v>0</v>
      </c>
      <c r="O39" s="14">
        <f>SUM(D41/(SUM(B41:J41)))</f>
        <v>0.35251585204484898</v>
      </c>
      <c r="P39" s="1" t="s">
        <v>17</v>
      </c>
      <c r="Q39">
        <v>54.02</v>
      </c>
      <c r="R39" s="3">
        <f t="shared" si="0"/>
        <v>19.042906327462742</v>
      </c>
      <c r="S39">
        <v>25.21</v>
      </c>
      <c r="T39" s="3">
        <f>SUM(S39*0.63)</f>
        <v>15.882300000000001</v>
      </c>
    </row>
    <row r="40" spans="1:20" x14ac:dyDescent="0.2">
      <c r="A40" s="5" t="s">
        <v>9</v>
      </c>
      <c r="B40" s="3">
        <v>226697.24</v>
      </c>
      <c r="C40" s="3"/>
      <c r="D40" s="3">
        <v>3027.34</v>
      </c>
      <c r="E40" s="3"/>
      <c r="F40" s="3">
        <v>38207.230000000003</v>
      </c>
      <c r="G40" s="3"/>
      <c r="H40" s="3">
        <v>0</v>
      </c>
      <c r="I40" s="3"/>
      <c r="J40" s="3">
        <v>0</v>
      </c>
      <c r="K40" s="3"/>
      <c r="L40" s="3">
        <v>15782.9</v>
      </c>
      <c r="N40" s="3">
        <v>0</v>
      </c>
      <c r="O40" s="14">
        <f>SUM(F41/(SUM(B41:J41)))</f>
        <v>1.5056664500589477E-2</v>
      </c>
      <c r="P40" s="1" t="s">
        <v>18</v>
      </c>
      <c r="Q40">
        <v>54.02</v>
      </c>
      <c r="R40" s="3">
        <f t="shared" si="0"/>
        <v>0.81336101632184354</v>
      </c>
    </row>
    <row r="41" spans="1:20" x14ac:dyDescent="0.2">
      <c r="A41" s="1" t="s">
        <v>10</v>
      </c>
      <c r="B41" s="3">
        <f>SUM(B38+B39-B40)</f>
        <v>203285.7</v>
      </c>
      <c r="C41" s="3"/>
      <c r="D41" s="3">
        <f>SUM(D38+D39-D40)</f>
        <v>260601.81000000003</v>
      </c>
      <c r="E41" s="3"/>
      <c r="F41" s="3">
        <f>SUM(F38+F39-F40)</f>
        <v>11130.829999999994</v>
      </c>
      <c r="G41" s="3"/>
      <c r="H41" s="3">
        <f>SUM(H38+H39-H40)</f>
        <v>119190.29</v>
      </c>
      <c r="I41" s="3"/>
      <c r="J41" s="3">
        <f>SUM(J38+J39-J40)</f>
        <v>145054.04</v>
      </c>
      <c r="K41" s="3"/>
      <c r="L41" s="3">
        <f>SUM(L38+L39-L40)</f>
        <v>22328.799999999996</v>
      </c>
      <c r="N41" s="3">
        <f>SUM(N38+N39-N40)</f>
        <v>310.67</v>
      </c>
      <c r="O41" s="14">
        <f>SUM(H41/(SUM(B41:J41)))</f>
        <v>0.16122860633555322</v>
      </c>
      <c r="P41" s="1" t="s">
        <v>19</v>
      </c>
      <c r="Q41">
        <v>54.02</v>
      </c>
      <c r="R41" s="3">
        <f t="shared" si="0"/>
        <v>8.7095693142465862</v>
      </c>
    </row>
    <row r="42" spans="1:20" x14ac:dyDescent="0.2">
      <c r="A42" s="4">
        <v>42430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>
        <f>SUM(J41/(SUM(B41:J41)))</f>
        <v>0.19621447948940801</v>
      </c>
      <c r="P42" s="1" t="s">
        <v>20</v>
      </c>
      <c r="Q42">
        <v>54.02</v>
      </c>
      <c r="R42" s="3">
        <f t="shared" si="0"/>
        <v>10.599506182017821</v>
      </c>
      <c r="S42">
        <v>25.21</v>
      </c>
      <c r="T42" s="3">
        <f>SUM(S42*0.03)</f>
        <v>0.75629999999999997</v>
      </c>
    </row>
    <row r="43" spans="1:20" x14ac:dyDescent="0.2">
      <c r="A43" s="1" t="s">
        <v>7</v>
      </c>
      <c r="B43" s="3">
        <v>203285.7</v>
      </c>
      <c r="C43" s="3"/>
      <c r="D43" s="3">
        <v>260601.81</v>
      </c>
      <c r="E43" s="3"/>
      <c r="F43" s="3">
        <v>11130.83</v>
      </c>
      <c r="G43" s="3"/>
      <c r="H43" s="3">
        <v>119190.29</v>
      </c>
      <c r="I43" s="3"/>
      <c r="J43" s="3">
        <v>145054.04</v>
      </c>
      <c r="K43" s="3"/>
      <c r="L43" s="3">
        <v>22328.799999999999</v>
      </c>
      <c r="N43" s="3">
        <v>310.67</v>
      </c>
      <c r="O43" s="14">
        <f>SUM(B46/(SUM(B46:J46)))</f>
        <v>0.19080976598528845</v>
      </c>
      <c r="P43" s="1" t="s">
        <v>16</v>
      </c>
      <c r="Q43">
        <v>46.1</v>
      </c>
      <c r="R43" s="3">
        <f t="shared" si="0"/>
        <v>8.7963302119217985</v>
      </c>
      <c r="S43">
        <v>24.93</v>
      </c>
      <c r="T43" s="3">
        <f>SUM(S43*0.34)</f>
        <v>8.4762000000000004</v>
      </c>
    </row>
    <row r="44" spans="1:20" x14ac:dyDescent="0.2">
      <c r="A44" s="5" t="s">
        <v>8</v>
      </c>
      <c r="B44" s="3">
        <v>131394.01</v>
      </c>
      <c r="C44" s="3"/>
      <c r="D44" s="3">
        <v>13102.3</v>
      </c>
      <c r="E44" s="3"/>
      <c r="F44" s="3">
        <v>6203.5</v>
      </c>
      <c r="G44" s="3"/>
      <c r="H44" s="3">
        <v>1310.25</v>
      </c>
      <c r="I44" s="3"/>
      <c r="J44" s="3">
        <v>0</v>
      </c>
      <c r="K44" s="3"/>
      <c r="L44" s="3">
        <v>18111.34</v>
      </c>
      <c r="N44" s="3">
        <v>1645</v>
      </c>
      <c r="O44" s="14">
        <f>SUM(D46/(SUM(B46:J46)))</f>
        <v>0.42597526212783138</v>
      </c>
      <c r="P44" s="1" t="s">
        <v>17</v>
      </c>
      <c r="Q44">
        <v>46.1</v>
      </c>
      <c r="R44" s="3">
        <f t="shared" si="0"/>
        <v>19.637459584093026</v>
      </c>
      <c r="S44">
        <v>24.93</v>
      </c>
      <c r="T44" s="3">
        <f>SUM(S44*0.63)</f>
        <v>15.7059</v>
      </c>
    </row>
    <row r="45" spans="1:20" x14ac:dyDescent="0.2">
      <c r="A45" s="5" t="s">
        <v>9</v>
      </c>
      <c r="B45" s="3">
        <v>212432.48</v>
      </c>
      <c r="C45" s="3"/>
      <c r="D45" s="3">
        <v>792</v>
      </c>
      <c r="E45" s="3"/>
      <c r="F45" s="3">
        <v>37372.29</v>
      </c>
      <c r="G45" s="3"/>
      <c r="H45" s="3">
        <v>0</v>
      </c>
      <c r="I45" s="3"/>
      <c r="J45" s="3">
        <v>0</v>
      </c>
      <c r="K45" s="3"/>
      <c r="L45" s="3">
        <v>16489.57</v>
      </c>
      <c r="N45" s="3">
        <v>0</v>
      </c>
      <c r="O45" s="14">
        <f>SUM(F46/(SUM(B46:J46)))</f>
        <v>-3.1276278885194943E-2</v>
      </c>
      <c r="P45" s="1" t="s">
        <v>18</v>
      </c>
      <c r="Q45">
        <v>46.1</v>
      </c>
      <c r="R45" s="3">
        <f t="shared" si="0"/>
        <v>-1.4418364566074868</v>
      </c>
    </row>
    <row r="46" spans="1:20" x14ac:dyDescent="0.2">
      <c r="A46" s="1" t="s">
        <v>10</v>
      </c>
      <c r="B46" s="3">
        <f>SUM(B43+B44-B45)</f>
        <v>122247.23000000001</v>
      </c>
      <c r="C46" s="3"/>
      <c r="D46" s="3">
        <f>SUM(D43+D44-D45)</f>
        <v>272912.11</v>
      </c>
      <c r="E46" s="3"/>
      <c r="F46" s="3">
        <f>SUM(F43+F44-F45)</f>
        <v>-20037.96</v>
      </c>
      <c r="G46" s="3"/>
      <c r="H46" s="3">
        <f>SUM(H43+H44-H45)</f>
        <v>120500.54</v>
      </c>
      <c r="I46" s="3"/>
      <c r="J46" s="3">
        <f>SUM(J43+J44-J45)</f>
        <v>145054.04</v>
      </c>
      <c r="K46" s="3"/>
      <c r="L46" s="3">
        <f>SUM(L43+L44-L45)</f>
        <v>23950.57</v>
      </c>
      <c r="N46" s="3">
        <f>SUM(N43+N44-N45)</f>
        <v>1955.67</v>
      </c>
      <c r="O46" s="14">
        <f>SUM(H46/(SUM(B46:J46)))</f>
        <v>0.18808344236921268</v>
      </c>
      <c r="P46" s="1" t="s">
        <v>19</v>
      </c>
      <c r="Q46">
        <v>46.1</v>
      </c>
      <c r="R46" s="3">
        <f t="shared" si="0"/>
        <v>8.6706466932207054</v>
      </c>
    </row>
    <row r="47" spans="1:20" x14ac:dyDescent="0.2">
      <c r="A47" s="4">
        <v>42461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>
        <f>SUM(J46/(SUM(B46:J46)))</f>
        <v>0.22640780840286254</v>
      </c>
      <c r="P47" s="1" t="s">
        <v>20</v>
      </c>
      <c r="Q47">
        <v>46.1</v>
      </c>
      <c r="R47" s="3">
        <f t="shared" si="0"/>
        <v>10.437399967371963</v>
      </c>
      <c r="S47">
        <v>24.93</v>
      </c>
      <c r="T47" s="3">
        <f>SUM(S47*0.03)</f>
        <v>0.74790000000000001</v>
      </c>
    </row>
    <row r="48" spans="1:20" x14ac:dyDescent="0.2">
      <c r="A48" s="1" t="s">
        <v>7</v>
      </c>
      <c r="B48" s="3">
        <v>122247.23</v>
      </c>
      <c r="C48" s="3"/>
      <c r="D48" s="3">
        <v>272912.11</v>
      </c>
      <c r="E48" s="3"/>
      <c r="F48" s="3">
        <v>-20037.96</v>
      </c>
      <c r="G48" s="3"/>
      <c r="H48" s="3">
        <v>120500.54</v>
      </c>
      <c r="I48" s="3"/>
      <c r="J48" s="3">
        <v>145054.04</v>
      </c>
      <c r="K48" s="3"/>
      <c r="L48" s="3">
        <v>23950.57</v>
      </c>
      <c r="N48" s="3">
        <v>1955.67</v>
      </c>
      <c r="O48" s="14">
        <f>SUM(B51/(SUM(B51:J51)))</f>
        <v>5.2700278040804613E-2</v>
      </c>
      <c r="P48" s="1" t="s">
        <v>16</v>
      </c>
      <c r="Q48">
        <v>33.96</v>
      </c>
      <c r="R48" s="3">
        <f t="shared" si="0"/>
        <v>1.7897014422657247</v>
      </c>
      <c r="S48">
        <v>30.08</v>
      </c>
      <c r="T48" s="3">
        <f>SUM(S48*0.34)</f>
        <v>10.2272</v>
      </c>
    </row>
    <row r="49" spans="1:21" x14ac:dyDescent="0.2">
      <c r="A49" s="5" t="s">
        <v>8</v>
      </c>
      <c r="B49" s="3">
        <v>44059.68</v>
      </c>
      <c r="C49" s="3"/>
      <c r="D49" s="3">
        <v>23382.67</v>
      </c>
      <c r="E49" s="3"/>
      <c r="F49" s="3">
        <v>11878.64</v>
      </c>
      <c r="G49" s="3"/>
      <c r="H49" s="3">
        <v>2258.27</v>
      </c>
      <c r="I49" s="3"/>
      <c r="J49" s="3">
        <v>0</v>
      </c>
      <c r="K49" s="3"/>
      <c r="L49" s="3">
        <v>20976.400000000001</v>
      </c>
      <c r="N49" s="3">
        <v>1920</v>
      </c>
      <c r="O49" s="14">
        <f>SUM(D51/(SUM(B51:J51)))</f>
        <v>0.4527827473446443</v>
      </c>
      <c r="P49" s="1" t="s">
        <v>17</v>
      </c>
      <c r="Q49">
        <v>33.96</v>
      </c>
      <c r="R49" s="3">
        <f t="shared" si="0"/>
        <v>15.376502099824121</v>
      </c>
      <c r="S49">
        <v>30.08</v>
      </c>
      <c r="T49" s="3">
        <f>SUM(S49*0.63)</f>
        <v>18.950399999999998</v>
      </c>
    </row>
    <row r="50" spans="1:21" x14ac:dyDescent="0.2">
      <c r="A50" s="5" t="s">
        <v>9</v>
      </c>
      <c r="B50" s="3">
        <v>142212.96</v>
      </c>
      <c r="C50" s="3"/>
      <c r="D50" s="3">
        <v>89287.81</v>
      </c>
      <c r="E50" s="3"/>
      <c r="F50" s="3">
        <v>33566.160000000003</v>
      </c>
      <c r="G50" s="3"/>
      <c r="H50" s="3">
        <v>0</v>
      </c>
      <c r="I50" s="3"/>
      <c r="J50" s="3">
        <v>0</v>
      </c>
      <c r="K50" s="3"/>
      <c r="L50" s="3">
        <v>17909.77</v>
      </c>
      <c r="N50" s="3">
        <v>0</v>
      </c>
      <c r="O50" s="14">
        <f>SUM(F51/(SUM(B51:J51)))</f>
        <v>-9.126541714355807E-2</v>
      </c>
      <c r="P50" s="1" t="s">
        <v>18</v>
      </c>
      <c r="Q50">
        <v>33.96</v>
      </c>
      <c r="R50" s="3">
        <f t="shared" si="0"/>
        <v>-3.099373566195232</v>
      </c>
    </row>
    <row r="51" spans="1:21" x14ac:dyDescent="0.2">
      <c r="A51" s="1" t="s">
        <v>10</v>
      </c>
      <c r="B51" s="3">
        <f>SUM(B48+B49-B50)</f>
        <v>24093.950000000012</v>
      </c>
      <c r="C51" s="3"/>
      <c r="D51" s="3">
        <f>SUM(D48+D49-D50)</f>
        <v>207006.96999999997</v>
      </c>
      <c r="E51" s="3"/>
      <c r="F51" s="3">
        <f>SUM(F48+F49-F50)</f>
        <v>-41725.480000000003</v>
      </c>
      <c r="G51" s="3"/>
      <c r="H51" s="3">
        <f>SUM(H48+H49-H50)</f>
        <v>122758.81</v>
      </c>
      <c r="I51" s="3"/>
      <c r="J51" s="3">
        <f>SUM(J48+J49-J50)</f>
        <v>145054.04</v>
      </c>
      <c r="K51" s="3"/>
      <c r="L51" s="3">
        <f>SUM(L48+L49-L50)</f>
        <v>27017.200000000001</v>
      </c>
      <c r="N51" s="3">
        <f>SUM(N48+N49-N50)</f>
        <v>3875.67</v>
      </c>
      <c r="O51" s="14">
        <f>SUM(H51/(SUM(B51:J51)))</f>
        <v>0.26850821135423214</v>
      </c>
      <c r="P51" s="1" t="s">
        <v>19</v>
      </c>
      <c r="Q51">
        <v>33.96</v>
      </c>
      <c r="R51" s="3">
        <f t="shared" si="0"/>
        <v>9.1185388575897228</v>
      </c>
    </row>
    <row r="52" spans="1:21" x14ac:dyDescent="0.2">
      <c r="A52" s="4">
        <v>42491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>
        <f>SUM(J51/(SUM(B51:J51)))</f>
        <v>0.31727418040387689</v>
      </c>
      <c r="P52" s="1" t="s">
        <v>20</v>
      </c>
      <c r="Q52">
        <v>33.96</v>
      </c>
      <c r="R52" s="3">
        <f t="shared" si="0"/>
        <v>10.774631166515659</v>
      </c>
      <c r="S52">
        <v>30.08</v>
      </c>
      <c r="T52" s="3">
        <f>SUM(S52*0.03)</f>
        <v>0.90239999999999987</v>
      </c>
    </row>
    <row r="53" spans="1:21" x14ac:dyDescent="0.2">
      <c r="A53" s="1" t="s">
        <v>7</v>
      </c>
      <c r="B53" s="3">
        <v>24093.95</v>
      </c>
      <c r="C53" s="3"/>
      <c r="D53" s="3">
        <v>207006.97</v>
      </c>
      <c r="E53" s="3"/>
      <c r="F53" s="3">
        <v>-41725.480000000003</v>
      </c>
      <c r="G53" s="3"/>
      <c r="H53" s="3">
        <v>122758.81</v>
      </c>
      <c r="I53" s="3"/>
      <c r="J53" s="3">
        <v>145054.04</v>
      </c>
      <c r="K53" s="3"/>
      <c r="L53" s="3">
        <v>27017.200000000001</v>
      </c>
      <c r="N53" s="3">
        <v>3875.67</v>
      </c>
      <c r="O53" s="14">
        <f>SUM(B56/(SUM(B56:J56)))</f>
        <v>0.21181447823875105</v>
      </c>
      <c r="P53" s="1" t="s">
        <v>16</v>
      </c>
      <c r="Q53">
        <v>47.39</v>
      </c>
      <c r="R53" s="3">
        <f t="shared" si="0"/>
        <v>10.037888123734412</v>
      </c>
      <c r="S53">
        <v>112.19</v>
      </c>
      <c r="T53" s="3">
        <f>SUM(S53*0.34)</f>
        <v>38.144600000000004</v>
      </c>
    </row>
    <row r="54" spans="1:21" x14ac:dyDescent="0.2">
      <c r="A54" s="5" t="s">
        <v>8</v>
      </c>
      <c r="B54" s="3">
        <v>398658.63</v>
      </c>
      <c r="C54" s="3"/>
      <c r="D54" s="3">
        <v>274956.05</v>
      </c>
      <c r="E54" s="3"/>
      <c r="F54" s="3">
        <v>129962.55</v>
      </c>
      <c r="G54" s="3"/>
      <c r="H54" s="3">
        <v>27495.61</v>
      </c>
      <c r="I54" s="3"/>
      <c r="J54" s="3">
        <v>0</v>
      </c>
      <c r="K54" s="3"/>
      <c r="L54" s="3">
        <v>16091.64</v>
      </c>
      <c r="N54" s="3">
        <v>2580</v>
      </c>
      <c r="O54" s="14">
        <f>SUM(D56/(SUM(B56:J56)))</f>
        <v>0.45042727126478377</v>
      </c>
      <c r="P54" s="1" t="s">
        <v>17</v>
      </c>
      <c r="Q54">
        <v>47.39</v>
      </c>
      <c r="R54" s="3">
        <f t="shared" si="0"/>
        <v>21.345748385238103</v>
      </c>
      <c r="S54">
        <v>112.19</v>
      </c>
      <c r="T54" s="3">
        <f>SUM(S54*0.63)</f>
        <v>70.679699999999997</v>
      </c>
    </row>
    <row r="55" spans="1:21" x14ac:dyDescent="0.2">
      <c r="A55" s="5" t="s">
        <v>9</v>
      </c>
      <c r="B55" s="3">
        <v>203346.01</v>
      </c>
      <c r="C55" s="3"/>
      <c r="D55" s="3">
        <v>15391.03</v>
      </c>
      <c r="E55" s="3"/>
      <c r="F55" s="3">
        <v>33680.97</v>
      </c>
      <c r="G55" s="3"/>
      <c r="H55" s="3">
        <v>0</v>
      </c>
      <c r="I55" s="3"/>
      <c r="J55" s="3">
        <v>0</v>
      </c>
      <c r="K55" s="3"/>
      <c r="L55" s="3">
        <v>10759.49</v>
      </c>
      <c r="N55" s="3">
        <v>235</v>
      </c>
      <c r="O55" s="14">
        <f>SUM(F56/(SUM(B56:J56)))</f>
        <v>5.26683036713127E-2</v>
      </c>
      <c r="P55" s="1" t="s">
        <v>18</v>
      </c>
      <c r="Q55">
        <v>47.39</v>
      </c>
      <c r="R55" s="3">
        <f t="shared" si="0"/>
        <v>2.4959509109835087</v>
      </c>
    </row>
    <row r="56" spans="1:21" x14ac:dyDescent="0.2">
      <c r="A56" s="1" t="s">
        <v>10</v>
      </c>
      <c r="B56" s="3">
        <f>SUM(B53+B54-B55)</f>
        <v>219406.57</v>
      </c>
      <c r="C56" s="3"/>
      <c r="D56" s="3">
        <f>SUM(D53+D54-D55)</f>
        <v>466571.99</v>
      </c>
      <c r="E56" s="3"/>
      <c r="F56" s="3">
        <f>SUM(F53+F54-F55)</f>
        <v>54556.100000000006</v>
      </c>
      <c r="G56" s="3"/>
      <c r="H56" s="3">
        <f>SUM(H53+H54-H55)</f>
        <v>150254.41999999998</v>
      </c>
      <c r="I56" s="3"/>
      <c r="J56" s="3">
        <f>SUM(J53+J54-J55)</f>
        <v>145054.04</v>
      </c>
      <c r="K56" s="3"/>
      <c r="L56" s="3">
        <f>SUM(L53+L54-L55)</f>
        <v>32349.35</v>
      </c>
      <c r="N56" s="3">
        <f>SUM(N53+N54-N55)</f>
        <v>6220.67</v>
      </c>
      <c r="O56" s="14">
        <f>SUM(H56/(SUM(B56:J56)))</f>
        <v>0.14505518943833887</v>
      </c>
      <c r="P56" s="1" t="s">
        <v>19</v>
      </c>
      <c r="Q56">
        <v>47.39</v>
      </c>
      <c r="R56" s="3">
        <f t="shared" si="0"/>
        <v>6.874165427482879</v>
      </c>
    </row>
    <row r="57" spans="1:21" x14ac:dyDescent="0.2">
      <c r="A57" s="4">
        <v>42522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>
        <f>SUM(J56/(SUM(B56:J56)))</f>
        <v>0.14003475738681354</v>
      </c>
      <c r="P57" s="1" t="s">
        <v>20</v>
      </c>
      <c r="Q57">
        <v>47.39</v>
      </c>
      <c r="R57" s="3">
        <f t="shared" si="0"/>
        <v>6.6362471525610935</v>
      </c>
      <c r="S57">
        <v>112.19</v>
      </c>
      <c r="T57" s="3">
        <f>SUM(S57*0.03)</f>
        <v>3.3656999999999999</v>
      </c>
    </row>
    <row r="58" spans="1:21" x14ac:dyDescent="0.2">
      <c r="A58" s="1" t="s">
        <v>7</v>
      </c>
      <c r="B58" s="3">
        <v>219406.57</v>
      </c>
      <c r="C58" s="3"/>
      <c r="D58" s="3">
        <v>466571.99</v>
      </c>
      <c r="E58" s="3"/>
      <c r="F58" s="3">
        <v>54556.1</v>
      </c>
      <c r="G58" s="3"/>
      <c r="H58" s="3">
        <v>150254.42000000001</v>
      </c>
      <c r="I58" s="3"/>
      <c r="J58" s="3">
        <v>145054.5</v>
      </c>
      <c r="K58" s="3"/>
      <c r="L58" s="3">
        <v>32349.35</v>
      </c>
      <c r="N58" s="3">
        <v>6220.67</v>
      </c>
      <c r="O58" s="14">
        <f>SUM(B61/(SUM(B61:J61)))</f>
        <v>0.29933064179342539</v>
      </c>
      <c r="P58" s="1" t="s">
        <v>16</v>
      </c>
      <c r="Q58">
        <v>95.58</v>
      </c>
      <c r="R58" s="3">
        <f t="shared" si="0"/>
        <v>28.610022742615598</v>
      </c>
      <c r="S58">
        <v>0</v>
      </c>
      <c r="T58" s="3">
        <f>SUM(S58*0.34)</f>
        <v>0</v>
      </c>
    </row>
    <row r="59" spans="1:21" x14ac:dyDescent="0.2">
      <c r="A59" s="5" t="s">
        <v>8</v>
      </c>
      <c r="B59" s="3">
        <v>503979.8</v>
      </c>
      <c r="C59" s="3"/>
      <c r="D59" s="3">
        <v>247129.86</v>
      </c>
      <c r="E59" s="3"/>
      <c r="F59" s="3">
        <v>109126.67</v>
      </c>
      <c r="G59" s="3"/>
      <c r="H59" s="3">
        <v>21172.62</v>
      </c>
      <c r="I59" s="3"/>
      <c r="J59" s="3">
        <v>0</v>
      </c>
      <c r="K59" s="3"/>
      <c r="L59" s="3">
        <v>5469.42</v>
      </c>
      <c r="N59" s="3">
        <v>-230</v>
      </c>
      <c r="O59" s="14">
        <f>SUM(D61/(SUM(B61:J61)))</f>
        <v>0.43353380412119591</v>
      </c>
      <c r="P59" s="1" t="s">
        <v>17</v>
      </c>
      <c r="Q59">
        <v>95.58</v>
      </c>
      <c r="R59" s="3">
        <f t="shared" si="0"/>
        <v>41.437160997903902</v>
      </c>
      <c r="S59">
        <v>0</v>
      </c>
      <c r="T59" s="3">
        <f>SUM(S59*0.63)</f>
        <v>0</v>
      </c>
    </row>
    <row r="60" spans="1:21" x14ac:dyDescent="0.2">
      <c r="A60" s="5" t="s">
        <v>9</v>
      </c>
      <c r="B60" s="3">
        <v>332457.34000000003</v>
      </c>
      <c r="C60" s="3"/>
      <c r="D60" s="3">
        <v>147502.04999999999</v>
      </c>
      <c r="E60" s="3"/>
      <c r="F60" s="3">
        <v>86695.41</v>
      </c>
      <c r="G60" s="3"/>
      <c r="H60" s="3">
        <v>44587</v>
      </c>
      <c r="I60" s="3"/>
      <c r="J60" s="3">
        <v>0</v>
      </c>
      <c r="K60" s="3"/>
      <c r="L60" s="3">
        <v>25535.61</v>
      </c>
      <c r="N60" s="3">
        <v>4091.4</v>
      </c>
      <c r="O60" s="14">
        <f>SUM(F61/(SUM(B61:J61)))</f>
        <v>5.8948489649851492E-2</v>
      </c>
      <c r="P60" s="1" t="s">
        <v>18</v>
      </c>
      <c r="Q60">
        <v>95.58</v>
      </c>
      <c r="R60" s="3">
        <f t="shared" si="0"/>
        <v>5.6342966407328055</v>
      </c>
    </row>
    <row r="61" spans="1:21" x14ac:dyDescent="0.2">
      <c r="A61" s="1" t="s">
        <v>10</v>
      </c>
      <c r="B61" s="3">
        <f>SUM(B58+B59-B60)</f>
        <v>390929.02999999997</v>
      </c>
      <c r="C61" s="3"/>
      <c r="D61" s="3">
        <f>SUM(D58+D59-D60)</f>
        <v>566199.80000000005</v>
      </c>
      <c r="E61" s="3"/>
      <c r="F61" s="3">
        <f>SUM(F58+F59-F60)</f>
        <v>76987.359999999986</v>
      </c>
      <c r="G61" s="3"/>
      <c r="H61" s="3">
        <f>SUM(H58+H59-H60)</f>
        <v>126840.04000000001</v>
      </c>
      <c r="I61" s="3"/>
      <c r="J61" s="3">
        <f>SUM(J58+J59-J60)</f>
        <v>145054.5</v>
      </c>
      <c r="K61" s="3"/>
      <c r="L61" s="3">
        <f>SUM(L58+L59-L60)</f>
        <v>12283.159999999996</v>
      </c>
      <c r="N61" s="3">
        <f>SUM(N58+N59-N60)</f>
        <v>1899.27</v>
      </c>
      <c r="O61" s="14">
        <f>SUM(H61/(SUM(B61:J61)))</f>
        <v>9.7120212787225726E-2</v>
      </c>
      <c r="P61" s="1" t="s">
        <v>19</v>
      </c>
      <c r="Q61">
        <v>95.58</v>
      </c>
      <c r="R61" s="3">
        <f t="shared" si="0"/>
        <v>9.2827499382030343</v>
      </c>
    </row>
    <row r="62" spans="1:21" x14ac:dyDescent="0.2">
      <c r="A62" s="5" t="s">
        <v>26</v>
      </c>
      <c r="B62" s="3">
        <v>229010.76</v>
      </c>
      <c r="C62" s="3"/>
      <c r="D62" s="3"/>
      <c r="E62" s="3"/>
      <c r="F62" s="3">
        <v>55042.96</v>
      </c>
      <c r="G62" s="3"/>
      <c r="H62" s="3"/>
      <c r="I62" s="3"/>
      <c r="J62" s="3"/>
      <c r="K62" s="3"/>
      <c r="L62" s="3">
        <v>15318.54</v>
      </c>
      <c r="N62" s="3">
        <v>3409.5</v>
      </c>
      <c r="O62" s="14">
        <f>SUM(J61/(SUM(B61:J61)))</f>
        <v>0.11106685164830155</v>
      </c>
      <c r="P62" s="1" t="s">
        <v>20</v>
      </c>
      <c r="Q62">
        <v>95.58</v>
      </c>
      <c r="R62" s="3">
        <f t="shared" si="0"/>
        <v>10.615769680544661</v>
      </c>
      <c r="S62">
        <v>0</v>
      </c>
      <c r="T62" s="3">
        <f>SUM(S62*0.03)</f>
        <v>0</v>
      </c>
    </row>
    <row r="63" spans="1:21" x14ac:dyDescent="0.2">
      <c r="A63" s="5" t="s">
        <v>43</v>
      </c>
      <c r="B63" s="3">
        <v>9116.58</v>
      </c>
      <c r="C63" s="3"/>
      <c r="D63" s="3"/>
      <c r="E63" s="3"/>
      <c r="F63" s="2" t="s">
        <v>11</v>
      </c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629056.37</v>
      </c>
      <c r="C64" s="3"/>
      <c r="D64" s="3">
        <f>SUM(D61:D63)</f>
        <v>566199.80000000005</v>
      </c>
      <c r="E64" s="3"/>
      <c r="F64" s="3">
        <f>SUM(F61:F63)</f>
        <v>132030.31999999998</v>
      </c>
      <c r="G64" s="3"/>
      <c r="H64" s="3">
        <f>SUM(H61:H63)</f>
        <v>126840.04000000001</v>
      </c>
      <c r="I64" s="3"/>
      <c r="J64" s="3">
        <f>SUM(J61:J63)</f>
        <v>145054.5</v>
      </c>
      <c r="K64" s="3"/>
      <c r="L64" s="3">
        <f>SUM(L61:L63)</f>
        <v>27601.699999999997</v>
      </c>
      <c r="N64" s="3">
        <f>SUM(N61:N63)</f>
        <v>5308.77</v>
      </c>
      <c r="O64" s="14"/>
      <c r="P64" s="1" t="s">
        <v>16</v>
      </c>
      <c r="R64" s="2">
        <f>SUM(R3,R8,R13,R18,R23,R28,R33,R38,R43,R48,R53,R58)</f>
        <v>268.98308637098705</v>
      </c>
      <c r="T64" s="2">
        <f>SUM(T3,T8,T13,T18,T23,T28,T33,T38,T43,T48,T53,T58)</f>
        <v>255.77860000000001</v>
      </c>
      <c r="U64" s="2">
        <f>SUM(R64+T64+(R66*0.4))</f>
        <v>532.51952141518427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>
        <f>SUM(R4,R9,R14,R19,R24,R29,R34,R39,R44,R49,R54,R59)</f>
        <v>269.07601105467415</v>
      </c>
      <c r="T65" s="2">
        <f>SUM(T4,T9,T14,T19,T24,T29,T34,T39,T44,T49,T54,T59)</f>
        <v>473.94269999999995</v>
      </c>
      <c r="U65" s="2">
        <f>SUM(R65+T65+(R66*0.35))</f>
        <v>749.80681671834668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>
        <f>SUM(R5,R10,R15,R20,R25,R30,R35,R40,R45,R50,R55,R60)</f>
        <v>19.394587610493073</v>
      </c>
      <c r="T66" s="1"/>
    </row>
    <row r="67" spans="1:21" x14ac:dyDescent="0.2">
      <c r="B67" s="3">
        <f>SUM(B5,B10,B15,B20,B25,B30,B35,B40,B45,B50,B55,B60)</f>
        <v>2598805.5199999996</v>
      </c>
      <c r="C67" s="3"/>
      <c r="D67" s="3">
        <f>SUM(D5,D10,D15,D20,D25,D30,D35,D40,D45,D50,D55,D60)</f>
        <v>1478913.9500000002</v>
      </c>
      <c r="E67" s="3"/>
      <c r="F67" s="3">
        <f>SUM(F5,F10,F15,F20,F25,F30,F35,F40,F45,F50,F55,F60)</f>
        <v>482535.55000000005</v>
      </c>
      <c r="G67" s="3"/>
      <c r="H67" s="3">
        <f>SUM(H5,H10,H15,H20,H25,H30,H35,H40,H45,H50,H55,H60)</f>
        <v>59137</v>
      </c>
      <c r="I67" s="3"/>
      <c r="J67" s="3">
        <f>SUM(J5,J10,J15,J20,J25,J30,J35,J40,J45,J50,J55,J60)</f>
        <v>82400</v>
      </c>
      <c r="K67" s="3"/>
      <c r="L67" s="3">
        <f>SUM(L5,L10,L15,L20,L25,L30,L35,L40,L45,L50,L55,L60)</f>
        <v>180024.44999999995</v>
      </c>
      <c r="N67" s="3">
        <f>SUM(N5,N10,N15,N20,N25,N30,N35,N40,N45,N50,N55,N60)</f>
        <v>8866.4599999999991</v>
      </c>
      <c r="O67" s="14"/>
      <c r="P67" s="1" t="s">
        <v>19</v>
      </c>
      <c r="R67" s="2">
        <f>SUM(R6,R11,R16,R21,R26,R31,R36,R41,R46,R51,R56,R61)</f>
        <v>99.501330487233275</v>
      </c>
      <c r="T67" s="1"/>
      <c r="U67" s="2">
        <f>SUM(R67+(R66*0.125))</f>
        <v>101.92565393854491</v>
      </c>
    </row>
    <row r="68" spans="1:21" x14ac:dyDescent="0.2">
      <c r="B68" s="15">
        <f>SUM(B31/B67)</f>
        <v>0.1362861696553577</v>
      </c>
      <c r="C68" s="3"/>
      <c r="D68" s="15">
        <f>SUM(D31/D67)</f>
        <v>0.13850596243277033</v>
      </c>
      <c r="E68" s="3"/>
      <c r="F68" s="15">
        <f>SUM(F31/F67)</f>
        <v>0.1479616579545279</v>
      </c>
      <c r="G68" s="3"/>
      <c r="H68" s="15">
        <f>SUM(H31/H67)</f>
        <v>1.9672394609127954</v>
      </c>
      <c r="I68" s="3"/>
      <c r="J68" s="15">
        <f>SUM(J31/J67)</f>
        <v>1.7603645631067961</v>
      </c>
      <c r="K68" s="3"/>
      <c r="L68" s="15">
        <f>SUM(L31/L67)</f>
        <v>0.1171619188393577</v>
      </c>
      <c r="N68" s="15">
        <f>SUM(N31/N67)</f>
        <v>3.5038786618334719E-2</v>
      </c>
      <c r="O68" s="14"/>
      <c r="P68" s="1" t="s">
        <v>20</v>
      </c>
      <c r="R68" s="2">
        <f>SUM(R7,R12,R17,R22,R27,R32,R37,R42,R47,R52,R57,R62)</f>
        <v>140.17498447661239</v>
      </c>
      <c r="T68" s="2">
        <f>SUM(T7,T12,T17,T22,T27,T32,T37,T42,T47,T52,T57,T62)</f>
        <v>22.5687</v>
      </c>
      <c r="U68" s="2">
        <f>SUM(R68+T68+(R66*0.125))</f>
        <v>165.16800792792404</v>
      </c>
    </row>
  </sheetData>
  <pageMargins left="0.7" right="0.7" top="0.75" bottom="0.75" header="0.3" footer="0.3"/>
  <pageSetup scale="67" orientation="landscape" r:id="rId1"/>
  <rowBreaks count="1" manualBreakCount="1">
    <brk id="46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40" zoomScaleNormal="100" workbookViewId="0">
      <selection activeCell="Q8" sqref="Q8"/>
    </sheetView>
  </sheetViews>
  <sheetFormatPr defaultRowHeight="12.75" x14ac:dyDescent="0.2"/>
  <cols>
    <col min="1" max="1" width="20.7109375" customWidth="1"/>
    <col min="2" max="2" width="14.5703125" customWidth="1"/>
    <col min="3" max="3" width="2.42578125" customWidth="1"/>
    <col min="4" max="4" width="13.28515625" customWidth="1"/>
    <col min="5" max="5" width="2.7109375" customWidth="1"/>
    <col min="6" max="6" width="14.140625" customWidth="1"/>
    <col min="7" max="7" width="2.5703125" customWidth="1"/>
    <col min="8" max="8" width="12.28515625" customWidth="1"/>
    <col min="9" max="9" width="1.7109375" customWidth="1"/>
    <col min="10" max="10" width="11.85546875" customWidth="1"/>
    <col min="11" max="11" width="2.140625" customWidth="1"/>
    <col min="12" max="12" width="14" customWidth="1"/>
    <col min="13" max="13" width="2.5703125" customWidth="1"/>
    <col min="14" max="14" width="13.140625" customWidth="1"/>
    <col min="15" max="15" width="9.2851562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85546875" bestFit="1" customWidth="1"/>
    <col min="21" max="21" width="11.85546875" bestFit="1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41821</v>
      </c>
      <c r="N2" s="3"/>
      <c r="O2" s="14"/>
    </row>
    <row r="3" spans="1:20" x14ac:dyDescent="0.2">
      <c r="A3" s="1" t="s">
        <v>7</v>
      </c>
      <c r="B3" s="3">
        <v>625501.79</v>
      </c>
      <c r="C3" s="3"/>
      <c r="D3" s="3">
        <v>1593586.25</v>
      </c>
      <c r="E3" s="3"/>
      <c r="F3" s="3">
        <v>81088.37</v>
      </c>
      <c r="G3" s="3"/>
      <c r="H3" s="3">
        <v>134308.54</v>
      </c>
      <c r="I3" s="3"/>
      <c r="J3" s="3">
        <v>315800.46999999997</v>
      </c>
      <c r="K3" s="3"/>
      <c r="L3" s="3">
        <v>33513.15</v>
      </c>
      <c r="N3" s="3">
        <v>4463.2700000000004</v>
      </c>
      <c r="O3" s="14">
        <f>SUM(B7/(SUM(B7:J7)))</f>
        <v>0.28184884847524</v>
      </c>
      <c r="P3" s="1" t="s">
        <v>16</v>
      </c>
      <c r="Q3">
        <v>207.83</v>
      </c>
      <c r="R3" s="3">
        <f>SUM(O3*Q3)</f>
        <v>58.576646178609131</v>
      </c>
      <c r="S3">
        <v>199.6</v>
      </c>
      <c r="T3" s="3">
        <f>SUM(S3*0.34)</f>
        <v>67.864000000000004</v>
      </c>
    </row>
    <row r="4" spans="1:20" x14ac:dyDescent="0.2">
      <c r="A4" s="1" t="s">
        <v>41</v>
      </c>
      <c r="B4" s="3">
        <v>97697.2</v>
      </c>
      <c r="C4" s="3"/>
      <c r="D4" s="3">
        <v>97697.2</v>
      </c>
      <c r="E4" s="3"/>
      <c r="F4" s="3"/>
      <c r="G4" s="3"/>
      <c r="H4" s="3"/>
      <c r="I4" s="3"/>
      <c r="J4" s="3"/>
      <c r="K4" s="3"/>
      <c r="L4" s="3"/>
      <c r="N4" s="3"/>
      <c r="O4" s="14"/>
      <c r="P4" s="1"/>
      <c r="R4" s="3"/>
      <c r="T4" s="3"/>
    </row>
    <row r="5" spans="1:20" x14ac:dyDescent="0.2">
      <c r="A5" s="5" t="s">
        <v>8</v>
      </c>
      <c r="B5" s="3">
        <v>105347.02</v>
      </c>
      <c r="C5" s="3"/>
      <c r="D5" s="3">
        <v>849.05</v>
      </c>
      <c r="E5" s="3"/>
      <c r="F5" s="3">
        <v>2119.0500000000002</v>
      </c>
      <c r="G5" s="3"/>
      <c r="H5" s="3">
        <v>3684.91</v>
      </c>
      <c r="I5" s="3"/>
      <c r="J5" s="3">
        <v>0.51</v>
      </c>
      <c r="K5" s="3"/>
      <c r="L5" s="3">
        <v>0</v>
      </c>
      <c r="N5" s="3">
        <v>50</v>
      </c>
      <c r="O5" s="14">
        <f>SUM(D7/(SUM(B7:J7)))</f>
        <v>0.53582169105156607</v>
      </c>
      <c r="P5" s="1" t="s">
        <v>17</v>
      </c>
      <c r="Q5">
        <v>207.83</v>
      </c>
      <c r="R5" s="3">
        <f t="shared" ref="R5:R63" si="0">SUM(O5*Q5)</f>
        <v>111.35982205124698</v>
      </c>
      <c r="S5">
        <v>199.6</v>
      </c>
      <c r="T5" s="3">
        <f>SUM(S5*0.63)</f>
        <v>125.74799999999999</v>
      </c>
    </row>
    <row r="6" spans="1:20" x14ac:dyDescent="0.2">
      <c r="A6" s="5" t="s">
        <v>9</v>
      </c>
      <c r="B6" s="3">
        <v>205184.17</v>
      </c>
      <c r="C6" s="3"/>
      <c r="D6" s="3">
        <v>311667.46000000002</v>
      </c>
      <c r="E6" s="3"/>
      <c r="F6" s="3">
        <v>33650.89</v>
      </c>
      <c r="G6" s="3"/>
      <c r="H6" s="3">
        <v>13200</v>
      </c>
      <c r="I6" s="3"/>
      <c r="J6" s="3">
        <v>86895</v>
      </c>
      <c r="K6" s="3"/>
      <c r="L6" s="3">
        <v>6662.49</v>
      </c>
      <c r="N6" s="3">
        <v>3218.75</v>
      </c>
      <c r="O6" s="14">
        <f>SUM(F7/(SUM(B7:J7)))</f>
        <v>2.2406650549749222E-2</v>
      </c>
      <c r="P6" s="1" t="s">
        <v>18</v>
      </c>
      <c r="Q6">
        <v>207.83</v>
      </c>
      <c r="R6" s="3">
        <f t="shared" si="0"/>
        <v>4.656774183754381</v>
      </c>
    </row>
    <row r="7" spans="1:20" x14ac:dyDescent="0.2">
      <c r="A7" s="1" t="s">
        <v>10</v>
      </c>
      <c r="B7" s="3">
        <f>SUM(B3+B4+B5-B6)</f>
        <v>623361.84</v>
      </c>
      <c r="C7" s="3"/>
      <c r="D7" s="3">
        <f>SUM(D3-D4+D5-D6)</f>
        <v>1185070.6400000001</v>
      </c>
      <c r="E7" s="3"/>
      <c r="F7" s="3">
        <f>SUM(F3+F5-F6)</f>
        <v>49556.53</v>
      </c>
      <c r="G7" s="3"/>
      <c r="H7" s="3">
        <f>SUM(H3+H5-H6)</f>
        <v>124793.45000000001</v>
      </c>
      <c r="I7" s="3"/>
      <c r="J7" s="3">
        <f>SUM(J3+J5-J6)</f>
        <v>228905.97999999998</v>
      </c>
      <c r="K7" s="3"/>
      <c r="L7" s="3">
        <f>SUM(L3+L5-L6)</f>
        <v>26850.660000000003</v>
      </c>
      <c r="N7" s="3">
        <f>SUM(N3+N5-N6)</f>
        <v>1294.5200000000004</v>
      </c>
      <c r="O7" s="14">
        <f>SUM(H7/(SUM(B7:J7)))</f>
        <v>5.6424516104085623E-2</v>
      </c>
      <c r="P7" s="1" t="s">
        <v>19</v>
      </c>
      <c r="Q7">
        <v>207.83</v>
      </c>
      <c r="R7" s="3">
        <f t="shared" si="0"/>
        <v>11.726707181912115</v>
      </c>
    </row>
    <row r="8" spans="1:20" x14ac:dyDescent="0.2">
      <c r="A8" s="4">
        <v>41852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>
        <f>SUM(J7/(SUM(B7:J7)))</f>
        <v>0.10349829381935911</v>
      </c>
      <c r="P8" s="1" t="s">
        <v>20</v>
      </c>
      <c r="Q8">
        <v>207.83</v>
      </c>
      <c r="R8" s="3">
        <f t="shared" si="0"/>
        <v>21.510050404477404</v>
      </c>
      <c r="S8">
        <v>199.6</v>
      </c>
      <c r="T8" s="3">
        <f>SUM(S8*0.03)</f>
        <v>5.9879999999999995</v>
      </c>
    </row>
    <row r="9" spans="1:20" x14ac:dyDescent="0.2">
      <c r="A9" s="1" t="s">
        <v>7</v>
      </c>
      <c r="B9" s="3">
        <v>623361.84</v>
      </c>
      <c r="C9" s="3"/>
      <c r="D9" s="3">
        <v>1185070.6399999999</v>
      </c>
      <c r="E9" s="3"/>
      <c r="F9" s="3">
        <v>49556.53</v>
      </c>
      <c r="G9" s="3"/>
      <c r="H9" s="3">
        <v>124793.45</v>
      </c>
      <c r="I9" s="3"/>
      <c r="J9" s="3">
        <v>228905.98</v>
      </c>
      <c r="K9" s="3"/>
      <c r="L9" s="3">
        <v>26850.66</v>
      </c>
      <c r="N9" s="3">
        <v>1294.52</v>
      </c>
      <c r="O9" s="14">
        <f>SUM(B12/(SUM(B12:J12)))</f>
        <v>0.28478564616368152</v>
      </c>
      <c r="P9" s="1" t="s">
        <v>16</v>
      </c>
      <c r="Q9">
        <v>175.86</v>
      </c>
      <c r="R9" s="3">
        <f t="shared" si="0"/>
        <v>50.082403734345036</v>
      </c>
      <c r="S9">
        <v>24.79</v>
      </c>
      <c r="T9" s="3">
        <f>SUM(S9*0.34)</f>
        <v>8.4286000000000012</v>
      </c>
    </row>
    <row r="10" spans="1:20" x14ac:dyDescent="0.2">
      <c r="A10" s="5" t="s">
        <v>8</v>
      </c>
      <c r="B10" s="3">
        <v>89235.04</v>
      </c>
      <c r="C10" s="3"/>
      <c r="D10" s="3">
        <v>7271.78</v>
      </c>
      <c r="E10" s="3"/>
      <c r="F10" s="3">
        <v>1185.02</v>
      </c>
      <c r="G10" s="3"/>
      <c r="H10" s="3">
        <v>227.19</v>
      </c>
      <c r="I10" s="3"/>
      <c r="J10" s="3">
        <v>7.34</v>
      </c>
      <c r="K10" s="3"/>
      <c r="L10" s="3">
        <v>463.5</v>
      </c>
      <c r="N10" s="3">
        <v>50</v>
      </c>
      <c r="O10" s="14">
        <f>SUM(D12/(SUM(B12:J12)))</f>
        <v>0.50459447687518999</v>
      </c>
      <c r="P10" s="1" t="s">
        <v>17</v>
      </c>
      <c r="Q10">
        <v>175.86</v>
      </c>
      <c r="R10" s="3">
        <f t="shared" si="0"/>
        <v>88.737984703270925</v>
      </c>
      <c r="S10">
        <v>24.79</v>
      </c>
      <c r="T10" s="3">
        <f>SUM(S10*0.63)</f>
        <v>15.617699999999999</v>
      </c>
    </row>
    <row r="11" spans="1:20" x14ac:dyDescent="0.2">
      <c r="A11" s="5" t="s">
        <v>9</v>
      </c>
      <c r="B11" s="3">
        <v>203095.78</v>
      </c>
      <c r="C11" s="3"/>
      <c r="D11" s="3">
        <v>289588.21000000002</v>
      </c>
      <c r="E11" s="3"/>
      <c r="F11" s="3">
        <v>27862.07</v>
      </c>
      <c r="G11" s="3"/>
      <c r="H11" s="3">
        <v>0</v>
      </c>
      <c r="I11" s="3"/>
      <c r="J11" s="3">
        <v>0</v>
      </c>
      <c r="K11" s="3"/>
      <c r="L11" s="3">
        <v>1812.69</v>
      </c>
      <c r="N11" s="3">
        <v>1363.79</v>
      </c>
      <c r="O11" s="14">
        <f>SUM(F12/(SUM(B12:J12)))</f>
        <v>1.2788485629744523E-2</v>
      </c>
      <c r="P11" s="1" t="s">
        <v>18</v>
      </c>
      <c r="Q11">
        <v>175.86</v>
      </c>
      <c r="R11" s="3">
        <f t="shared" si="0"/>
        <v>2.248983082846872</v>
      </c>
    </row>
    <row r="12" spans="1:20" x14ac:dyDescent="0.2">
      <c r="A12" s="1" t="s">
        <v>10</v>
      </c>
      <c r="B12" s="3">
        <f>SUM(B9+B10-B11)</f>
        <v>509501.1</v>
      </c>
      <c r="C12" s="3"/>
      <c r="D12" s="3">
        <f>SUM(D9+D10-D11)</f>
        <v>902754.21</v>
      </c>
      <c r="E12" s="3"/>
      <c r="F12" s="3">
        <f>SUM(F9+F10-F11)</f>
        <v>22879.479999999996</v>
      </c>
      <c r="G12" s="3"/>
      <c r="H12" s="3">
        <f>SUM(H9+H10-H11)</f>
        <v>125020.64</v>
      </c>
      <c r="I12" s="3"/>
      <c r="J12" s="3">
        <f>SUM(J9+J10-J11)</f>
        <v>228913.32</v>
      </c>
      <c r="K12" s="3"/>
      <c r="L12" s="3">
        <f>SUM(L9+L10-L11)</f>
        <v>25501.47</v>
      </c>
      <c r="N12" s="3">
        <f>SUM(N9+N10-N11)</f>
        <v>-19.269999999999982</v>
      </c>
      <c r="O12" s="14">
        <f>SUM(H12/(SUM(B12:J12)))</f>
        <v>6.9880288278468899E-2</v>
      </c>
      <c r="P12" s="1" t="s">
        <v>19</v>
      </c>
      <c r="Q12">
        <v>175.86</v>
      </c>
      <c r="R12" s="3">
        <f t="shared" si="0"/>
        <v>12.289147496651541</v>
      </c>
    </row>
    <row r="13" spans="1:20" x14ac:dyDescent="0.2">
      <c r="A13" s="4">
        <v>41883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>
        <f>SUM(J12/(SUM(B12:J12)))</f>
        <v>0.1279511030529151</v>
      </c>
      <c r="P13" s="1" t="s">
        <v>20</v>
      </c>
      <c r="Q13">
        <v>175.86</v>
      </c>
      <c r="R13" s="3">
        <f t="shared" si="0"/>
        <v>22.501480982885653</v>
      </c>
      <c r="S13">
        <v>24.79</v>
      </c>
      <c r="T13" s="3">
        <f>SUM(S13*0.03)</f>
        <v>0.74369999999999992</v>
      </c>
    </row>
    <row r="14" spans="1:20" x14ac:dyDescent="0.2">
      <c r="A14" s="1" t="s">
        <v>7</v>
      </c>
      <c r="B14" s="3">
        <v>509501.1</v>
      </c>
      <c r="C14" s="3"/>
      <c r="D14" s="3">
        <v>902754.21</v>
      </c>
      <c r="E14" s="3"/>
      <c r="F14" s="3">
        <v>22879.48</v>
      </c>
      <c r="G14" s="3"/>
      <c r="H14" s="3">
        <v>125020.64</v>
      </c>
      <c r="I14" s="3"/>
      <c r="J14" s="3">
        <v>228913.32</v>
      </c>
      <c r="K14" s="3"/>
      <c r="L14" s="3">
        <v>25501.47</v>
      </c>
      <c r="N14" s="3">
        <v>-19.27</v>
      </c>
      <c r="O14" s="14">
        <f>SUM(B17/(SUM(B17:J17)))</f>
        <v>0.23336413144130605</v>
      </c>
      <c r="P14" s="1" t="s">
        <v>16</v>
      </c>
      <c r="Q14">
        <v>137.13999999999999</v>
      </c>
      <c r="R14" s="3">
        <f t="shared" si="0"/>
        <v>32.003556985860712</v>
      </c>
      <c r="S14">
        <v>25.21</v>
      </c>
      <c r="T14" s="3">
        <f>SUM(S14*0.34)</f>
        <v>8.5714000000000006</v>
      </c>
    </row>
    <row r="15" spans="1:20" x14ac:dyDescent="0.2">
      <c r="A15" s="5" t="s">
        <v>8</v>
      </c>
      <c r="B15" s="3">
        <v>56651.41</v>
      </c>
      <c r="C15" s="3"/>
      <c r="D15" s="3">
        <v>761.23</v>
      </c>
      <c r="E15" s="3"/>
      <c r="F15" s="3">
        <v>528.29</v>
      </c>
      <c r="G15" s="3"/>
      <c r="H15" s="3">
        <v>76.12</v>
      </c>
      <c r="I15" s="3"/>
      <c r="J15" s="3">
        <v>0</v>
      </c>
      <c r="K15" s="3"/>
      <c r="L15" s="3">
        <v>10520.17</v>
      </c>
      <c r="N15" s="3">
        <v>60</v>
      </c>
      <c r="O15" s="14">
        <f>SUM(D17/(SUM(B17:J17)))</f>
        <v>0.54266157430026829</v>
      </c>
      <c r="P15" s="1" t="s">
        <v>17</v>
      </c>
      <c r="Q15">
        <v>137.13999999999999</v>
      </c>
      <c r="R15" s="3">
        <f t="shared" si="0"/>
        <v>74.420608299538785</v>
      </c>
      <c r="S15">
        <v>25.21</v>
      </c>
      <c r="T15" s="3">
        <f>SUM(S15*0.63)</f>
        <v>15.882300000000001</v>
      </c>
    </row>
    <row r="16" spans="1:20" x14ac:dyDescent="0.2">
      <c r="A16" s="5" t="s">
        <v>9</v>
      </c>
      <c r="B16" s="3">
        <v>210159.42</v>
      </c>
      <c r="C16" s="3"/>
      <c r="D16" s="3">
        <v>75694.259999999995</v>
      </c>
      <c r="E16" s="3"/>
      <c r="F16" s="3">
        <v>35748.800000000003</v>
      </c>
      <c r="G16" s="3"/>
      <c r="H16" s="3">
        <v>0</v>
      </c>
      <c r="I16" s="3"/>
      <c r="J16" s="3">
        <v>0</v>
      </c>
      <c r="K16" s="3"/>
      <c r="L16" s="3">
        <v>20506.509999999998</v>
      </c>
      <c r="N16" s="3">
        <v>0</v>
      </c>
      <c r="O16" s="14">
        <f>SUM(F17/(SUM(B17:J17)))</f>
        <v>-8.0899147425617223E-3</v>
      </c>
      <c r="P16" s="1" t="s">
        <v>18</v>
      </c>
      <c r="Q16">
        <v>137.13999999999999</v>
      </c>
      <c r="R16" s="3">
        <f t="shared" si="0"/>
        <v>-1.1094509077949144</v>
      </c>
    </row>
    <row r="17" spans="1:20" x14ac:dyDescent="0.2">
      <c r="A17" s="1" t="s">
        <v>10</v>
      </c>
      <c r="B17" s="3">
        <f>SUM(B14+B15-B16)</f>
        <v>355993.08999999997</v>
      </c>
      <c r="C17" s="3"/>
      <c r="D17" s="3">
        <f>SUM(D14+D15-D16)</f>
        <v>827821.17999999993</v>
      </c>
      <c r="E17" s="3"/>
      <c r="F17" s="3">
        <f>SUM(F14+F15-F16)</f>
        <v>-12341.030000000002</v>
      </c>
      <c r="G17" s="3"/>
      <c r="H17" s="3">
        <f>SUM(H14+H15-H16)</f>
        <v>125096.76</v>
      </c>
      <c r="I17" s="3"/>
      <c r="J17" s="3">
        <f>SUM(J14+J15-J16)</f>
        <v>228913.32</v>
      </c>
      <c r="K17" s="3"/>
      <c r="L17" s="3">
        <f>SUM(L14+L15-L16)</f>
        <v>15515.130000000001</v>
      </c>
      <c r="N17" s="3">
        <f>SUM(N14+N15-N16)</f>
        <v>40.730000000000004</v>
      </c>
      <c r="O17" s="14">
        <f>SUM(H17/(SUM(B17:J17)))</f>
        <v>8.2004672460135444E-2</v>
      </c>
      <c r="P17" s="1" t="s">
        <v>19</v>
      </c>
      <c r="Q17">
        <v>137.13999999999999</v>
      </c>
      <c r="R17" s="3">
        <f t="shared" si="0"/>
        <v>11.246120781182974</v>
      </c>
    </row>
    <row r="18" spans="1:20" x14ac:dyDescent="0.2">
      <c r="A18" s="4">
        <v>41913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>
        <f>SUM(J17/(SUM(B17:J17)))</f>
        <v>0.15005953654085186</v>
      </c>
      <c r="P18" s="1" t="s">
        <v>20</v>
      </c>
      <c r="Q18">
        <v>137.13999999999999</v>
      </c>
      <c r="R18" s="3">
        <f t="shared" si="0"/>
        <v>20.579164841212421</v>
      </c>
      <c r="S18">
        <v>25.21</v>
      </c>
      <c r="T18" s="3">
        <f>SUM(S18*0.03)</f>
        <v>0.75629999999999997</v>
      </c>
    </row>
    <row r="19" spans="1:20" x14ac:dyDescent="0.2">
      <c r="A19" s="1" t="s">
        <v>7</v>
      </c>
      <c r="B19" s="3">
        <v>355993.09</v>
      </c>
      <c r="C19" s="3"/>
      <c r="D19" s="3">
        <v>827821.18</v>
      </c>
      <c r="E19" s="3"/>
      <c r="F19" s="3">
        <v>-12341.03</v>
      </c>
      <c r="G19" s="3"/>
      <c r="H19" s="3">
        <v>125096.76</v>
      </c>
      <c r="I19" s="3"/>
      <c r="J19" s="3">
        <v>228913.32</v>
      </c>
      <c r="K19" s="3"/>
      <c r="L19" s="3">
        <v>15515.13</v>
      </c>
      <c r="N19" s="3">
        <v>40.729999999999997</v>
      </c>
      <c r="O19" s="14">
        <f>SUM(B22/(SUM(B22:J22)))</f>
        <v>0.12859509098175861</v>
      </c>
      <c r="P19" s="1" t="s">
        <v>16</v>
      </c>
      <c r="Q19">
        <v>114.54</v>
      </c>
      <c r="R19" s="3">
        <f t="shared" si="0"/>
        <v>14.729281721050633</v>
      </c>
      <c r="S19">
        <v>26.32</v>
      </c>
      <c r="T19" s="3">
        <f>SUM(S19*0.34)</f>
        <v>8.9488000000000003</v>
      </c>
    </row>
    <row r="20" spans="1:20" x14ac:dyDescent="0.2">
      <c r="A20" s="5" t="s">
        <v>8</v>
      </c>
      <c r="B20" s="3">
        <v>90933.35</v>
      </c>
      <c r="C20" s="3"/>
      <c r="D20" s="3">
        <v>6052.87</v>
      </c>
      <c r="E20" s="3"/>
      <c r="F20" s="3">
        <v>3158.55</v>
      </c>
      <c r="G20" s="3"/>
      <c r="H20" s="3">
        <v>605.28</v>
      </c>
      <c r="I20" s="3"/>
      <c r="J20" s="3">
        <v>10</v>
      </c>
      <c r="K20" s="3"/>
      <c r="L20" s="3">
        <v>21906.21</v>
      </c>
      <c r="N20" s="3">
        <v>0</v>
      </c>
      <c r="O20" s="14">
        <f>SUM(D22/(SUM(B22:J22)))</f>
        <v>0.63465439859078432</v>
      </c>
      <c r="P20" s="1" t="s">
        <v>17</v>
      </c>
      <c r="Q20">
        <v>114.54</v>
      </c>
      <c r="R20" s="3">
        <f t="shared" si="0"/>
        <v>72.693314814588433</v>
      </c>
      <c r="S20">
        <v>26.32</v>
      </c>
      <c r="T20" s="3">
        <f>SUM(S20*0.63)</f>
        <v>16.581600000000002</v>
      </c>
    </row>
    <row r="21" spans="1:20" x14ac:dyDescent="0.2">
      <c r="A21" s="5" t="s">
        <v>9</v>
      </c>
      <c r="B21" s="3">
        <v>280921.98</v>
      </c>
      <c r="C21" s="3"/>
      <c r="D21" s="3">
        <v>14593.47</v>
      </c>
      <c r="E21" s="3"/>
      <c r="F21" s="3">
        <v>39819.699999999997</v>
      </c>
      <c r="G21" s="3"/>
      <c r="H21" s="3">
        <v>0</v>
      </c>
      <c r="I21" s="3"/>
      <c r="J21" s="3">
        <v>0</v>
      </c>
      <c r="K21" s="3"/>
      <c r="L21" s="3">
        <v>18060.93</v>
      </c>
      <c r="N21" s="3">
        <v>0</v>
      </c>
      <c r="O21" s="14">
        <f>SUM(F22/(SUM(B22:J22)))</f>
        <v>-3.7959460820537638E-2</v>
      </c>
      <c r="P21" s="1" t="s">
        <v>18</v>
      </c>
      <c r="Q21">
        <v>114.54</v>
      </c>
      <c r="R21" s="3">
        <f t="shared" si="0"/>
        <v>-4.3478766423843815</v>
      </c>
    </row>
    <row r="22" spans="1:20" x14ac:dyDescent="0.2">
      <c r="A22" s="1" t="s">
        <v>10</v>
      </c>
      <c r="B22" s="3">
        <f>SUM(B19+B20-B21)</f>
        <v>166004.46000000008</v>
      </c>
      <c r="C22" s="3"/>
      <c r="D22" s="3">
        <f>SUM(D19+D20-D21)</f>
        <v>819280.58000000007</v>
      </c>
      <c r="E22" s="3"/>
      <c r="F22" s="3">
        <f>SUM(F19+F20-F21)</f>
        <v>-49002.179999999993</v>
      </c>
      <c r="G22" s="3"/>
      <c r="H22" s="3">
        <f>SUM(H19+H20-H21)</f>
        <v>125702.04</v>
      </c>
      <c r="I22" s="3"/>
      <c r="J22" s="3">
        <f>SUM(J19+J20-J21)</f>
        <v>228923.32</v>
      </c>
      <c r="K22" s="3"/>
      <c r="L22" s="3">
        <f>SUM(L19+L20-L21)</f>
        <v>19360.409999999996</v>
      </c>
      <c r="N22" s="3">
        <f>SUM(N19+N20-N21)</f>
        <v>40.729999999999997</v>
      </c>
      <c r="O22" s="14">
        <f>SUM(H22/(SUM(B22:J22)))</f>
        <v>9.7374885412070566E-2</v>
      </c>
      <c r="P22" s="1" t="s">
        <v>19</v>
      </c>
      <c r="Q22">
        <v>114.54</v>
      </c>
      <c r="R22" s="3">
        <f t="shared" si="0"/>
        <v>11.153319375098564</v>
      </c>
    </row>
    <row r="23" spans="1:20" x14ac:dyDescent="0.2">
      <c r="A23" s="4">
        <v>41944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>
        <f>SUM(J22/(SUM(B22:J22)))</f>
        <v>0.17733508583592408</v>
      </c>
      <c r="P23" s="1" t="s">
        <v>20</v>
      </c>
      <c r="Q23">
        <v>114.54</v>
      </c>
      <c r="R23" s="3">
        <f t="shared" si="0"/>
        <v>20.311960731646746</v>
      </c>
      <c r="S23">
        <v>26.32</v>
      </c>
      <c r="T23" s="3">
        <f>SUM(S23*0.03)</f>
        <v>0.78959999999999997</v>
      </c>
    </row>
    <row r="24" spans="1:20" x14ac:dyDescent="0.2">
      <c r="A24" s="1" t="s">
        <v>7</v>
      </c>
      <c r="B24" s="3">
        <v>166004.46</v>
      </c>
      <c r="C24" s="3"/>
      <c r="D24" s="3">
        <v>819280.58</v>
      </c>
      <c r="E24" s="3"/>
      <c r="F24" s="3">
        <v>-49002.18</v>
      </c>
      <c r="G24" s="3"/>
      <c r="H24" s="3">
        <v>125702.04</v>
      </c>
      <c r="I24" s="3"/>
      <c r="J24" s="3">
        <v>228923.32</v>
      </c>
      <c r="K24" s="3"/>
      <c r="L24" s="3">
        <v>19360.41</v>
      </c>
      <c r="N24" s="3">
        <v>40.729999999999997</v>
      </c>
      <c r="O24" s="14">
        <f>SUM(B27/(SUM(B27:J27)))</f>
        <v>0.20429272639956639</v>
      </c>
      <c r="P24" s="1" t="s">
        <v>16</v>
      </c>
      <c r="Q24">
        <v>110.56</v>
      </c>
      <c r="R24" s="3">
        <f t="shared" si="0"/>
        <v>22.58660383073606</v>
      </c>
      <c r="S24">
        <v>113.42</v>
      </c>
      <c r="T24" s="3">
        <f>SUM(S24*0.34)</f>
        <v>38.562800000000003</v>
      </c>
    </row>
    <row r="25" spans="1:20" x14ac:dyDescent="0.2">
      <c r="A25" s="5" t="s">
        <v>8</v>
      </c>
      <c r="B25" s="3">
        <v>368946.4</v>
      </c>
      <c r="C25" s="3"/>
      <c r="D25" s="3">
        <v>222404.34</v>
      </c>
      <c r="E25" s="3"/>
      <c r="F25" s="3">
        <v>117306.95</v>
      </c>
      <c r="G25" s="3"/>
      <c r="H25" s="3">
        <v>22240.43</v>
      </c>
      <c r="I25" s="3"/>
      <c r="J25" s="3">
        <v>0</v>
      </c>
      <c r="K25" s="3"/>
      <c r="L25" s="3">
        <v>17010.77</v>
      </c>
      <c r="N25" s="3">
        <v>0</v>
      </c>
      <c r="O25" s="14">
        <f>SUM(D27/(SUM(B27:J27)))</f>
        <v>0.54384821849708154</v>
      </c>
      <c r="P25" s="1" t="s">
        <v>17</v>
      </c>
      <c r="Q25">
        <v>110.56</v>
      </c>
      <c r="R25" s="3">
        <f t="shared" si="0"/>
        <v>60.127859037037339</v>
      </c>
      <c r="S25">
        <v>113.42</v>
      </c>
      <c r="T25" s="3">
        <f>SUM(S25*0.63)</f>
        <v>71.454599999999999</v>
      </c>
    </row>
    <row r="26" spans="1:20" x14ac:dyDescent="0.2">
      <c r="A26" s="5" t="s">
        <v>9</v>
      </c>
      <c r="B26" s="3">
        <v>202944.36</v>
      </c>
      <c r="C26" s="3"/>
      <c r="D26" s="3">
        <v>157849.51999999999</v>
      </c>
      <c r="E26" s="3"/>
      <c r="F26" s="3">
        <v>34381.599999999999</v>
      </c>
      <c r="G26" s="3"/>
      <c r="H26" s="3">
        <v>0</v>
      </c>
      <c r="I26" s="3"/>
      <c r="J26" s="3">
        <v>1480</v>
      </c>
      <c r="K26" s="3"/>
      <c r="L26" s="3">
        <v>13868.84</v>
      </c>
      <c r="N26" s="3">
        <v>0</v>
      </c>
      <c r="O26" s="14">
        <f>SUM(F27/(SUM(B27:J27)))</f>
        <v>2.0873859058229211E-2</v>
      </c>
      <c r="P26" s="1" t="s">
        <v>18</v>
      </c>
      <c r="Q26">
        <v>110.56</v>
      </c>
      <c r="R26" s="3">
        <f t="shared" si="0"/>
        <v>2.3078138574778215</v>
      </c>
    </row>
    <row r="27" spans="1:20" x14ac:dyDescent="0.2">
      <c r="A27" s="1" t="s">
        <v>10</v>
      </c>
      <c r="B27" s="3">
        <f>SUM(B24+B25-B26)</f>
        <v>332006.5</v>
      </c>
      <c r="C27" s="3"/>
      <c r="D27" s="3">
        <f>SUM(D24+D25-D26)</f>
        <v>883835.39999999991</v>
      </c>
      <c r="E27" s="3"/>
      <c r="F27" s="3">
        <f>SUM(F24+F25-F26)</f>
        <v>33923.169999999991</v>
      </c>
      <c r="G27" s="3"/>
      <c r="H27" s="3">
        <f>SUM(H24+H25-H26)</f>
        <v>147942.47</v>
      </c>
      <c r="I27" s="3"/>
      <c r="J27" s="3">
        <f>SUM(J24+J25-J26)</f>
        <v>227443.32</v>
      </c>
      <c r="K27" s="3"/>
      <c r="L27" s="3">
        <f>SUM(L24+L25-L26)</f>
        <v>22502.34</v>
      </c>
      <c r="N27" s="3">
        <f>SUM(N24+N25-N26)</f>
        <v>40.729999999999997</v>
      </c>
      <c r="O27" s="14">
        <f>SUM(H27/(SUM(B27:J27)))</f>
        <v>9.1033068769997158E-2</v>
      </c>
      <c r="P27" s="1" t="s">
        <v>19</v>
      </c>
      <c r="Q27">
        <v>110.56</v>
      </c>
      <c r="R27" s="3">
        <f t="shared" si="0"/>
        <v>10.064616083210886</v>
      </c>
    </row>
    <row r="28" spans="1:20" x14ac:dyDescent="0.2">
      <c r="A28" s="4">
        <v>41974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>
        <f>SUM(J27/(SUM(B27:J27)))</f>
        <v>0.13995212727512571</v>
      </c>
      <c r="P28" s="1" t="s">
        <v>20</v>
      </c>
      <c r="Q28">
        <v>110.56</v>
      </c>
      <c r="R28" s="3">
        <f t="shared" si="0"/>
        <v>15.473107191537899</v>
      </c>
      <c r="S28">
        <v>113.42</v>
      </c>
      <c r="T28" s="3">
        <f>SUM(S28*0.03)</f>
        <v>3.4026000000000001</v>
      </c>
    </row>
    <row r="29" spans="1:20" x14ac:dyDescent="0.2">
      <c r="A29" s="1" t="s">
        <v>7</v>
      </c>
      <c r="B29" s="3">
        <v>332006.5</v>
      </c>
      <c r="C29" s="3"/>
      <c r="D29" s="3">
        <v>883835.4</v>
      </c>
      <c r="E29" s="3"/>
      <c r="F29" s="3">
        <v>33923.17</v>
      </c>
      <c r="G29" s="3"/>
      <c r="H29" s="3">
        <v>147942.47</v>
      </c>
      <c r="I29" s="3"/>
      <c r="J29" s="3">
        <v>227443.32</v>
      </c>
      <c r="K29" s="3"/>
      <c r="L29" s="3">
        <v>22502.34</v>
      </c>
      <c r="N29" s="3">
        <v>40.729999999999997</v>
      </c>
      <c r="O29" s="14">
        <f>SUM(B32/(SUM(B32:J32)))</f>
        <v>0.22700903827373006</v>
      </c>
      <c r="P29" s="1" t="s">
        <v>16</v>
      </c>
      <c r="Q29">
        <v>121.38</v>
      </c>
      <c r="R29" s="3">
        <f t="shared" si="0"/>
        <v>27.554357065665354</v>
      </c>
      <c r="S29">
        <v>0</v>
      </c>
      <c r="T29" s="3">
        <f>SUM(S29*0.34)</f>
        <v>0</v>
      </c>
    </row>
    <row r="30" spans="1:20" x14ac:dyDescent="0.2">
      <c r="A30" s="5" t="s">
        <v>8</v>
      </c>
      <c r="B30" s="3">
        <v>236105.14</v>
      </c>
      <c r="C30" s="3"/>
      <c r="D30" s="3">
        <v>81422.91</v>
      </c>
      <c r="E30" s="3"/>
      <c r="F30" s="3">
        <v>44112.68</v>
      </c>
      <c r="G30" s="3"/>
      <c r="H30" s="3">
        <v>8142.29</v>
      </c>
      <c r="I30" s="3"/>
      <c r="J30" s="3">
        <v>10.72</v>
      </c>
      <c r="K30" s="3"/>
      <c r="L30" s="3">
        <v>8004.83</v>
      </c>
      <c r="N30" s="3">
        <v>0</v>
      </c>
      <c r="O30" s="14">
        <f>SUM(D32/(SUM(B32:J32)))</f>
        <v>0.50545681479636684</v>
      </c>
      <c r="P30" s="1" t="s">
        <v>17</v>
      </c>
      <c r="Q30">
        <v>121.38</v>
      </c>
      <c r="R30" s="3">
        <f t="shared" si="0"/>
        <v>61.352348179983004</v>
      </c>
      <c r="S30">
        <v>0</v>
      </c>
      <c r="T30" s="3">
        <f>SUM(S30*0.63)</f>
        <v>0</v>
      </c>
    </row>
    <row r="31" spans="1:20" x14ac:dyDescent="0.2">
      <c r="A31" s="5" t="s">
        <v>9</v>
      </c>
      <c r="B31" s="3">
        <v>205486.61</v>
      </c>
      <c r="C31" s="3"/>
      <c r="D31" s="3">
        <v>157839.82999999999</v>
      </c>
      <c r="E31" s="3"/>
      <c r="F31" s="3">
        <v>34214.67</v>
      </c>
      <c r="G31" s="3"/>
      <c r="H31" s="3">
        <v>0</v>
      </c>
      <c r="I31" s="3"/>
      <c r="J31" s="3">
        <v>0</v>
      </c>
      <c r="K31" s="3"/>
      <c r="L31" s="3">
        <v>5438.81</v>
      </c>
      <c r="N31" s="3">
        <v>0</v>
      </c>
      <c r="O31" s="14">
        <f>SUM(F32/(SUM(B32:J32)))</f>
        <v>2.7432755890623477E-2</v>
      </c>
      <c r="P31" s="1" t="s">
        <v>18</v>
      </c>
      <c r="Q31">
        <v>121.38</v>
      </c>
      <c r="R31" s="3">
        <f t="shared" si="0"/>
        <v>3.3297879100038776</v>
      </c>
    </row>
    <row r="32" spans="1:20" x14ac:dyDescent="0.2">
      <c r="A32" s="1" t="s">
        <v>10</v>
      </c>
      <c r="B32" s="3">
        <f>SUM(B29+B30-B31)</f>
        <v>362625.03</v>
      </c>
      <c r="C32" s="3"/>
      <c r="D32" s="3">
        <f>SUM(D29+D30-D31)</f>
        <v>807418.4800000001</v>
      </c>
      <c r="E32" s="3"/>
      <c r="F32" s="3">
        <f>SUM(F29+F30-F31)</f>
        <v>43821.180000000008</v>
      </c>
      <c r="G32" s="3"/>
      <c r="H32" s="3">
        <f>SUM(H29+H30-H31)</f>
        <v>156084.76</v>
      </c>
      <c r="I32" s="3"/>
      <c r="J32" s="3">
        <f>SUM(J29+J30-J31)</f>
        <v>227454.04</v>
      </c>
      <c r="K32" s="3"/>
      <c r="L32" s="3">
        <f>SUM(L29+L30-L31)</f>
        <v>25068.359999999997</v>
      </c>
      <c r="N32" s="3">
        <f>SUM(N29+N30-N31)</f>
        <v>40.729999999999997</v>
      </c>
      <c r="O32" s="14">
        <f>SUM(H32/(SUM(B32:J32)))</f>
        <v>9.7711543124273492E-2</v>
      </c>
      <c r="P32" s="1" t="s">
        <v>19</v>
      </c>
      <c r="Q32">
        <v>121.38</v>
      </c>
      <c r="R32" s="3">
        <f t="shared" si="0"/>
        <v>11.860227104424316</v>
      </c>
    </row>
    <row r="33" spans="1:20" x14ac:dyDescent="0.2">
      <c r="A33" s="4">
        <v>42005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>
        <f>SUM(J32/(SUM(B32:J32)))</f>
        <v>0.14238984791500611</v>
      </c>
      <c r="P33" s="1" t="s">
        <v>20</v>
      </c>
      <c r="Q33">
        <v>121.38</v>
      </c>
      <c r="R33" s="3">
        <f t="shared" si="0"/>
        <v>17.28327973992344</v>
      </c>
      <c r="S33">
        <v>0</v>
      </c>
      <c r="T33" s="3">
        <f>SUM(S33*0.03)</f>
        <v>0</v>
      </c>
    </row>
    <row r="34" spans="1:20" x14ac:dyDescent="0.2">
      <c r="A34" s="1" t="s">
        <v>7</v>
      </c>
      <c r="B34" s="3">
        <v>362625.03</v>
      </c>
      <c r="C34" s="3"/>
      <c r="D34" s="3">
        <v>807418.48</v>
      </c>
      <c r="E34" s="3"/>
      <c r="F34" s="3">
        <v>43821.18</v>
      </c>
      <c r="G34" s="3"/>
      <c r="H34" s="3">
        <v>156084.76</v>
      </c>
      <c r="I34" s="3"/>
      <c r="J34" s="3">
        <v>227454.04</v>
      </c>
      <c r="K34" s="3"/>
      <c r="L34" s="3">
        <v>25068.36</v>
      </c>
      <c r="N34" s="3">
        <v>40.729999999999997</v>
      </c>
      <c r="O34" s="14">
        <f>SUM(B37/(SUM(B37:J37)))</f>
        <v>0.19170420106924654</v>
      </c>
      <c r="P34" s="1" t="s">
        <v>16</v>
      </c>
      <c r="Q34">
        <v>118.13</v>
      </c>
      <c r="R34" s="3">
        <f t="shared" si="0"/>
        <v>22.646017272310093</v>
      </c>
      <c r="S34">
        <v>202.9</v>
      </c>
      <c r="T34" s="3">
        <f>SUM(S34*0.34)</f>
        <v>68.986000000000004</v>
      </c>
    </row>
    <row r="35" spans="1:20" x14ac:dyDescent="0.2">
      <c r="A35" s="5" t="s">
        <v>8</v>
      </c>
      <c r="B35" s="3">
        <v>145862.29999999999</v>
      </c>
      <c r="C35" s="3"/>
      <c r="D35" s="3">
        <v>50521.120000000003</v>
      </c>
      <c r="E35" s="3"/>
      <c r="F35" s="3">
        <v>6382.97</v>
      </c>
      <c r="G35" s="3"/>
      <c r="H35" s="3">
        <v>1182.3800000000001</v>
      </c>
      <c r="I35" s="3"/>
      <c r="J35" s="3">
        <v>0</v>
      </c>
      <c r="K35" s="3"/>
      <c r="L35" s="3">
        <v>22280.38</v>
      </c>
      <c r="N35" s="3">
        <v>0</v>
      </c>
      <c r="O35" s="14">
        <f>SUM(D37/(SUM(B37:J37)))</f>
        <v>0.55031687046163291</v>
      </c>
      <c r="P35" s="1" t="s">
        <v>17</v>
      </c>
      <c r="Q35">
        <v>118.13</v>
      </c>
      <c r="R35" s="3">
        <f t="shared" si="0"/>
        <v>65.0089319076327</v>
      </c>
      <c r="S35">
        <v>202.9</v>
      </c>
      <c r="T35" s="3">
        <f>SUM(S35*0.63)</f>
        <v>127.827</v>
      </c>
    </row>
    <row r="36" spans="1:20" x14ac:dyDescent="0.2">
      <c r="A36" s="5" t="s">
        <v>9</v>
      </c>
      <c r="B36" s="3">
        <v>210654.14</v>
      </c>
      <c r="C36" s="3"/>
      <c r="D36" s="3">
        <v>2962.88</v>
      </c>
      <c r="E36" s="3"/>
      <c r="F36" s="3">
        <v>34127.19</v>
      </c>
      <c r="G36" s="3"/>
      <c r="H36" s="3">
        <v>0</v>
      </c>
      <c r="I36" s="3"/>
      <c r="J36" s="3">
        <v>0</v>
      </c>
      <c r="K36" s="3"/>
      <c r="L36" s="3">
        <v>22255.25</v>
      </c>
      <c r="N36" s="3">
        <v>0</v>
      </c>
      <c r="O36" s="14">
        <f>SUM(F37/(SUM(B37:J37)))</f>
        <v>1.0348144115241938E-2</v>
      </c>
      <c r="P36" s="1" t="s">
        <v>18</v>
      </c>
      <c r="Q36">
        <v>118.13</v>
      </c>
      <c r="R36" s="3">
        <f t="shared" si="0"/>
        <v>1.22242626433353</v>
      </c>
    </row>
    <row r="37" spans="1:20" x14ac:dyDescent="0.2">
      <c r="A37" s="1" t="s">
        <v>10</v>
      </c>
      <c r="B37" s="3">
        <f>SUM(B34+B35-B36)</f>
        <v>297833.19</v>
      </c>
      <c r="C37" s="3"/>
      <c r="D37" s="3">
        <f>SUM(D34+D35-D36)</f>
        <v>854976.72</v>
      </c>
      <c r="E37" s="3"/>
      <c r="F37" s="3">
        <f>SUM(F34+F35-F36)</f>
        <v>16076.96</v>
      </c>
      <c r="G37" s="3"/>
      <c r="H37" s="3">
        <f>SUM(H34+H35-H36)</f>
        <v>157267.14000000001</v>
      </c>
      <c r="I37" s="3"/>
      <c r="J37" s="3">
        <f>SUM(J34+J35-J36)</f>
        <v>227454.04</v>
      </c>
      <c r="K37" s="3"/>
      <c r="L37" s="3">
        <f>SUM(L34+L35-L36)</f>
        <v>25093.490000000005</v>
      </c>
      <c r="N37" s="3">
        <f>SUM(N34+N35-N36)</f>
        <v>40.729999999999997</v>
      </c>
      <c r="O37" s="14">
        <f>SUM(H37/(SUM(B37:J37)))</f>
        <v>0.10122703728266601</v>
      </c>
      <c r="P37" s="1" t="s">
        <v>19</v>
      </c>
      <c r="Q37">
        <v>118.13</v>
      </c>
      <c r="R37" s="3">
        <f t="shared" si="0"/>
        <v>11.957949914201334</v>
      </c>
    </row>
    <row r="38" spans="1:20" x14ac:dyDescent="0.2">
      <c r="A38" s="4">
        <v>42036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>
        <f>SUM(J37/(SUM(B37:J37)))</f>
        <v>0.14640374707121273</v>
      </c>
      <c r="P38" s="1" t="s">
        <v>20</v>
      </c>
      <c r="Q38">
        <v>118.13</v>
      </c>
      <c r="R38" s="3">
        <f t="shared" si="0"/>
        <v>17.294674641522359</v>
      </c>
      <c r="S38">
        <v>202.9</v>
      </c>
      <c r="T38" s="3">
        <f>SUM(S38*0.03)</f>
        <v>6.0869999999999997</v>
      </c>
    </row>
    <row r="39" spans="1:20" x14ac:dyDescent="0.2">
      <c r="A39" s="1" t="s">
        <v>7</v>
      </c>
      <c r="B39" s="3">
        <v>297833.19</v>
      </c>
      <c r="C39" s="3"/>
      <c r="D39" s="3">
        <v>854976.72</v>
      </c>
      <c r="E39" s="3"/>
      <c r="F39" s="3">
        <v>16076.96</v>
      </c>
      <c r="G39" s="3"/>
      <c r="H39" s="3">
        <v>157267.14000000001</v>
      </c>
      <c r="I39" s="3"/>
      <c r="J39" s="3">
        <v>227454.04</v>
      </c>
      <c r="K39" s="3"/>
      <c r="L39" s="3">
        <v>25093.49</v>
      </c>
      <c r="N39" s="3">
        <v>40.729999999999997</v>
      </c>
      <c r="O39" s="14">
        <f>SUM(B42/(SUM(B42:J42)))</f>
        <v>0.14046312919070494</v>
      </c>
      <c r="P39" s="1" t="s">
        <v>16</v>
      </c>
      <c r="Q39">
        <v>106.16</v>
      </c>
      <c r="R39" s="3">
        <f t="shared" si="0"/>
        <v>14.911565794885236</v>
      </c>
      <c r="S39">
        <v>25.21</v>
      </c>
      <c r="T39" s="3">
        <f>SUM(S39*0.34)</f>
        <v>8.5714000000000006</v>
      </c>
    </row>
    <row r="40" spans="1:20" x14ac:dyDescent="0.2">
      <c r="A40" s="5" t="s">
        <v>8</v>
      </c>
      <c r="B40" s="3">
        <v>137835.04</v>
      </c>
      <c r="C40" s="3"/>
      <c r="D40" s="3">
        <v>23204.17</v>
      </c>
      <c r="E40" s="3"/>
      <c r="F40" s="3">
        <v>12401.66</v>
      </c>
      <c r="G40" s="3"/>
      <c r="H40" s="3">
        <v>2323.75</v>
      </c>
      <c r="I40" s="3"/>
      <c r="J40" s="3">
        <v>0</v>
      </c>
      <c r="K40" s="3"/>
      <c r="L40" s="3">
        <v>16454.810000000001</v>
      </c>
      <c r="N40" s="3">
        <v>0</v>
      </c>
      <c r="O40" s="14">
        <f>SUM(D42/(SUM(B42:J42)))</f>
        <v>0.59862773315626983</v>
      </c>
      <c r="P40" s="1" t="s">
        <v>17</v>
      </c>
      <c r="Q40">
        <v>106.16</v>
      </c>
      <c r="R40" s="3">
        <f t="shared" si="0"/>
        <v>63.550320151869606</v>
      </c>
      <c r="S40">
        <v>25.21</v>
      </c>
      <c r="T40" s="3">
        <f>SUM(S40*0.63)</f>
        <v>15.882300000000001</v>
      </c>
    </row>
    <row r="41" spans="1:20" x14ac:dyDescent="0.2">
      <c r="A41" s="5" t="s">
        <v>9</v>
      </c>
      <c r="B41" s="3">
        <v>230512.18</v>
      </c>
      <c r="C41" s="3"/>
      <c r="D41" s="3">
        <v>3843.96</v>
      </c>
      <c r="E41" s="3"/>
      <c r="F41" s="3">
        <v>34447.83</v>
      </c>
      <c r="G41" s="3"/>
      <c r="H41" s="3">
        <v>0</v>
      </c>
      <c r="I41" s="3"/>
      <c r="J41" s="3">
        <v>0</v>
      </c>
      <c r="K41" s="3"/>
      <c r="L41" s="3">
        <v>12148.66</v>
      </c>
      <c r="N41" s="3">
        <v>0</v>
      </c>
      <c r="O41" s="14">
        <f>SUM(F42/(SUM(B42:J42)))</f>
        <v>-4.0869080653309917E-3</v>
      </c>
      <c r="P41" s="1" t="s">
        <v>18</v>
      </c>
      <c r="Q41">
        <v>106.16</v>
      </c>
      <c r="R41" s="3">
        <f t="shared" si="0"/>
        <v>-0.43386616021553809</v>
      </c>
    </row>
    <row r="42" spans="1:20" x14ac:dyDescent="0.2">
      <c r="A42" s="1" t="s">
        <v>10</v>
      </c>
      <c r="B42" s="3">
        <f>SUM(B39+B40-B41)</f>
        <v>205156.05</v>
      </c>
      <c r="C42" s="3"/>
      <c r="D42" s="3">
        <f>SUM(D39+D40-D41)</f>
        <v>874336.93</v>
      </c>
      <c r="E42" s="3"/>
      <c r="F42" s="3">
        <f>SUM(F39+F40-F41)</f>
        <v>-5969.2100000000028</v>
      </c>
      <c r="G42" s="3"/>
      <c r="H42" s="3">
        <f>SUM(H39+H40-H41)</f>
        <v>159590.89000000001</v>
      </c>
      <c r="I42" s="3"/>
      <c r="J42" s="3">
        <f>SUM(J39+J40-J41)</f>
        <v>227454.04</v>
      </c>
      <c r="K42" s="3"/>
      <c r="L42" s="3">
        <f>SUM(L39+L40-L41)</f>
        <v>29399.640000000003</v>
      </c>
      <c r="N42" s="3">
        <f>SUM(N39+N40-N41)</f>
        <v>40.729999999999997</v>
      </c>
      <c r="O42" s="14">
        <f>SUM(H42/(SUM(B42:J42)))</f>
        <v>0.10926626731080845</v>
      </c>
      <c r="P42" s="1" t="s">
        <v>19</v>
      </c>
      <c r="Q42">
        <v>106.16</v>
      </c>
      <c r="R42" s="3">
        <f t="shared" si="0"/>
        <v>11.599706937715425</v>
      </c>
    </row>
    <row r="43" spans="1:20" x14ac:dyDescent="0.2">
      <c r="A43" s="4">
        <v>42064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>
        <f>SUM(J42/(SUM(B42:J42)))</f>
        <v>0.15572977840754768</v>
      </c>
      <c r="P43" s="1" t="s">
        <v>20</v>
      </c>
      <c r="Q43">
        <v>106.16</v>
      </c>
      <c r="R43" s="3">
        <f t="shared" si="0"/>
        <v>16.532273275745261</v>
      </c>
      <c r="S43">
        <v>25.21</v>
      </c>
      <c r="T43" s="3">
        <f>SUM(S43*0.03)</f>
        <v>0.75629999999999997</v>
      </c>
    </row>
    <row r="44" spans="1:20" x14ac:dyDescent="0.2">
      <c r="A44" s="1" t="s">
        <v>7</v>
      </c>
      <c r="B44" s="3">
        <v>205156.05</v>
      </c>
      <c r="C44" s="3"/>
      <c r="D44" s="3">
        <v>874336.93</v>
      </c>
      <c r="E44" s="3"/>
      <c r="F44" s="3">
        <v>-5969.21</v>
      </c>
      <c r="G44" s="3"/>
      <c r="H44" s="3">
        <v>159590.89000000001</v>
      </c>
      <c r="I44" s="3"/>
      <c r="J44" s="3">
        <v>227454.04</v>
      </c>
      <c r="K44" s="3"/>
      <c r="L44" s="3">
        <v>29399.64</v>
      </c>
      <c r="N44" s="3">
        <v>40.729999999999997</v>
      </c>
      <c r="O44" s="14">
        <f>SUM(B47/(SUM(B47:J47)))</f>
        <v>0.10498201922941423</v>
      </c>
      <c r="P44" s="1" t="s">
        <v>16</v>
      </c>
      <c r="Q44">
        <v>108.03</v>
      </c>
      <c r="R44" s="3">
        <f t="shared" si="0"/>
        <v>11.34120753735362</v>
      </c>
      <c r="S44">
        <v>24.79</v>
      </c>
      <c r="T44" s="3">
        <f>SUM(S44*0.34)</f>
        <v>8.4286000000000012</v>
      </c>
    </row>
    <row r="45" spans="1:20" x14ac:dyDescent="0.2">
      <c r="A45" s="5" t="s">
        <v>8</v>
      </c>
      <c r="B45" s="3">
        <v>142512.28</v>
      </c>
      <c r="C45" s="3"/>
      <c r="D45" s="3">
        <v>16169.68</v>
      </c>
      <c r="E45" s="3"/>
      <c r="F45" s="3">
        <v>9990.61</v>
      </c>
      <c r="G45" s="3"/>
      <c r="H45" s="3">
        <v>1619.26</v>
      </c>
      <c r="I45" s="3"/>
      <c r="J45" s="3">
        <v>0</v>
      </c>
      <c r="K45" s="3"/>
      <c r="L45" s="3">
        <v>16902.830000000002</v>
      </c>
      <c r="N45" s="3">
        <v>0</v>
      </c>
      <c r="O45" s="14">
        <f>SUM(D47/(SUM(B47:J47)))</f>
        <v>0.63672411624383241</v>
      </c>
      <c r="P45" s="1" t="s">
        <v>17</v>
      </c>
      <c r="Q45">
        <v>108.03</v>
      </c>
      <c r="R45" s="3">
        <f t="shared" si="0"/>
        <v>68.785306277821221</v>
      </c>
      <c r="S45">
        <v>24.79</v>
      </c>
      <c r="T45" s="3">
        <f>SUM(S45*0.63)</f>
        <v>15.617699999999999</v>
      </c>
    </row>
    <row r="46" spans="1:20" x14ac:dyDescent="0.2">
      <c r="A46" s="5" t="s">
        <v>9</v>
      </c>
      <c r="B46" s="3">
        <v>202170.83</v>
      </c>
      <c r="C46" s="3"/>
      <c r="D46" s="3">
        <v>8052.95</v>
      </c>
      <c r="E46" s="3"/>
      <c r="F46" s="3">
        <v>34708.94</v>
      </c>
      <c r="G46" s="3"/>
      <c r="H46" s="3">
        <v>0</v>
      </c>
      <c r="I46" s="3"/>
      <c r="J46" s="3">
        <v>0</v>
      </c>
      <c r="K46" s="3"/>
      <c r="L46" s="3">
        <v>16383.36</v>
      </c>
      <c r="N46" s="3">
        <v>0</v>
      </c>
      <c r="O46" s="14">
        <f>SUM(F47/(SUM(B47:J47)))</f>
        <v>-2.214223553245533E-2</v>
      </c>
      <c r="P46" s="1" t="s">
        <v>18</v>
      </c>
      <c r="Q46">
        <v>108.03</v>
      </c>
      <c r="R46" s="3">
        <f t="shared" si="0"/>
        <v>-2.3920257045711493</v>
      </c>
    </row>
    <row r="47" spans="1:20" x14ac:dyDescent="0.2">
      <c r="A47" s="1" t="s">
        <v>10</v>
      </c>
      <c r="B47" s="3">
        <f>SUM(B44+B45-B46)</f>
        <v>145497.49999999997</v>
      </c>
      <c r="C47" s="3"/>
      <c r="D47" s="3">
        <f>SUM(D44+D45-D46)</f>
        <v>882453.66000000015</v>
      </c>
      <c r="E47" s="3"/>
      <c r="F47" s="3">
        <f>SUM(F44+F45-F46)</f>
        <v>-30687.54</v>
      </c>
      <c r="G47" s="3"/>
      <c r="H47" s="3">
        <f>SUM(H44+H45-H46)</f>
        <v>161210.15000000002</v>
      </c>
      <c r="I47" s="3"/>
      <c r="J47" s="3">
        <f>SUM(J44+J45-J46)</f>
        <v>227454.04</v>
      </c>
      <c r="K47" s="3"/>
      <c r="L47" s="3">
        <f>SUM(L44+L45-L46)</f>
        <v>29919.11</v>
      </c>
      <c r="N47" s="3">
        <f>SUM(N44+N45-N46)</f>
        <v>40.729999999999997</v>
      </c>
      <c r="O47" s="14">
        <f>SUM(H47/(SUM(B47:J47)))</f>
        <v>0.11631929804482387</v>
      </c>
      <c r="P47" s="1" t="s">
        <v>19</v>
      </c>
      <c r="Q47">
        <v>108.03</v>
      </c>
      <c r="R47" s="3">
        <f t="shared" si="0"/>
        <v>12.565973767782323</v>
      </c>
    </row>
    <row r="48" spans="1:20" x14ac:dyDescent="0.2">
      <c r="A48" s="4">
        <v>42095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>
        <f>SUM(J47/(SUM(B47:J47)))</f>
        <v>0.16411680201438486</v>
      </c>
      <c r="P48" s="1" t="s">
        <v>20</v>
      </c>
      <c r="Q48">
        <v>108.03</v>
      </c>
      <c r="R48" s="3">
        <f t="shared" si="0"/>
        <v>17.729538121613995</v>
      </c>
      <c r="S48">
        <v>24.79</v>
      </c>
      <c r="T48" s="3">
        <f>SUM(S48*0.03)</f>
        <v>0.74369999999999992</v>
      </c>
    </row>
    <row r="49" spans="1:20" x14ac:dyDescent="0.2">
      <c r="A49" s="1" t="s">
        <v>7</v>
      </c>
      <c r="B49" s="3">
        <v>145497.5</v>
      </c>
      <c r="C49" s="3"/>
      <c r="D49" s="3">
        <v>882453.66</v>
      </c>
      <c r="E49" s="3"/>
      <c r="F49" s="3">
        <v>-30687.54</v>
      </c>
      <c r="G49" s="3"/>
      <c r="H49" s="3">
        <v>161210.15</v>
      </c>
      <c r="I49" s="3"/>
      <c r="J49" s="3">
        <v>227454.04</v>
      </c>
      <c r="K49" s="3"/>
      <c r="L49" s="3">
        <v>29919.11</v>
      </c>
      <c r="N49" s="3">
        <v>40.729999999999997</v>
      </c>
      <c r="O49" s="14">
        <f>SUM(B52/(SUM(B52:J52)))</f>
        <v>1.6594684844852596E-2</v>
      </c>
      <c r="P49" s="1" t="s">
        <v>16</v>
      </c>
      <c r="Q49">
        <v>97.51</v>
      </c>
      <c r="R49" s="3">
        <f t="shared" si="0"/>
        <v>1.6181477192215767</v>
      </c>
      <c r="S49">
        <v>18.7</v>
      </c>
      <c r="T49" s="3">
        <f>SUM(S49*0.34)</f>
        <v>6.3580000000000005</v>
      </c>
    </row>
    <row r="50" spans="1:20" x14ac:dyDescent="0.2">
      <c r="A50" s="5" t="s">
        <v>8</v>
      </c>
      <c r="B50" s="3">
        <v>55051.14</v>
      </c>
      <c r="C50" s="3"/>
      <c r="D50" s="3">
        <v>370210.73</v>
      </c>
      <c r="E50" s="3"/>
      <c r="F50" s="3">
        <v>10904.78</v>
      </c>
      <c r="G50" s="3"/>
      <c r="H50" s="3">
        <v>2023.98</v>
      </c>
      <c r="I50" s="3"/>
      <c r="J50" s="3">
        <v>0</v>
      </c>
      <c r="K50" s="3"/>
      <c r="L50" s="3">
        <v>19122.54</v>
      </c>
      <c r="N50" s="3">
        <v>3055</v>
      </c>
      <c r="O50" s="14">
        <f>SUM(D52/(SUM(B52:J52)))</f>
        <v>0.77116029055776958</v>
      </c>
      <c r="P50" s="1" t="s">
        <v>17</v>
      </c>
      <c r="Q50">
        <v>97.51</v>
      </c>
      <c r="R50" s="3">
        <f t="shared" si="0"/>
        <v>75.195839932288109</v>
      </c>
      <c r="S50">
        <v>18.7</v>
      </c>
      <c r="T50" s="3">
        <f>SUM(S50*0.63)</f>
        <v>11.780999999999999</v>
      </c>
    </row>
    <row r="51" spans="1:20" x14ac:dyDescent="0.2">
      <c r="A51" s="5" t="s">
        <v>9</v>
      </c>
      <c r="B51" s="3">
        <v>176688.64000000001</v>
      </c>
      <c r="C51" s="3"/>
      <c r="D51" s="3">
        <v>143882.59</v>
      </c>
      <c r="E51" s="3"/>
      <c r="F51" s="3">
        <v>33225.910000000003</v>
      </c>
      <c r="G51" s="3"/>
      <c r="H51" s="3">
        <v>32511.53</v>
      </c>
      <c r="I51" s="3"/>
      <c r="J51" s="3">
        <v>0</v>
      </c>
      <c r="K51" s="3"/>
      <c r="L51" s="3">
        <v>18003.37</v>
      </c>
      <c r="N51" s="3">
        <v>0</v>
      </c>
      <c r="O51" s="14">
        <f>SUM(F52/(SUM(B52:J52)))</f>
        <v>-3.6867651831298934E-2</v>
      </c>
      <c r="P51" s="1" t="s">
        <v>18</v>
      </c>
      <c r="Q51">
        <v>97.51</v>
      </c>
      <c r="R51" s="3">
        <f t="shared" si="0"/>
        <v>-3.5949647300699592</v>
      </c>
    </row>
    <row r="52" spans="1:20" x14ac:dyDescent="0.2">
      <c r="A52" s="1" t="s">
        <v>10</v>
      </c>
      <c r="B52" s="3">
        <f>SUM(B49+B50-B51)</f>
        <v>23860</v>
      </c>
      <c r="C52" s="3"/>
      <c r="D52" s="3">
        <f>SUM(D49+D50-D51)</f>
        <v>1108781.8</v>
      </c>
      <c r="E52" s="3"/>
      <c r="F52" s="3">
        <f>SUM(F49+F50-F51)</f>
        <v>-53008.670000000006</v>
      </c>
      <c r="G52" s="3"/>
      <c r="H52" s="3">
        <f>SUM(H49+H50-H51)</f>
        <v>130722.6</v>
      </c>
      <c r="I52" s="3"/>
      <c r="J52" s="3">
        <f>SUM(J49+J50-J51)</f>
        <v>227454.04</v>
      </c>
      <c r="K52" s="3"/>
      <c r="L52" s="3">
        <f>SUM(L49+L50-L51)</f>
        <v>31038.280000000002</v>
      </c>
      <c r="N52" s="3">
        <f>SUM(N49+N50-N51)</f>
        <v>3095.73</v>
      </c>
      <c r="O52" s="14">
        <f>SUM(H52/(SUM(B52:J52)))</f>
        <v>9.0917868780374181E-2</v>
      </c>
      <c r="P52" s="1" t="s">
        <v>19</v>
      </c>
      <c r="Q52">
        <v>97.51</v>
      </c>
      <c r="R52" s="3">
        <f t="shared" si="0"/>
        <v>8.8654013847742874</v>
      </c>
    </row>
    <row r="53" spans="1:20" x14ac:dyDescent="0.2">
      <c r="A53" s="4">
        <v>42125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>
        <f>SUM(J52/(SUM(B52:J52)))</f>
        <v>0.15819480764830243</v>
      </c>
      <c r="P53" s="1" t="s">
        <v>20</v>
      </c>
      <c r="Q53">
        <v>97.51</v>
      </c>
      <c r="R53" s="3">
        <f t="shared" si="0"/>
        <v>15.425575693785971</v>
      </c>
      <c r="S53">
        <v>18.7</v>
      </c>
      <c r="T53" s="3">
        <f>SUM(S53*0.03)</f>
        <v>0.56099999999999994</v>
      </c>
    </row>
    <row r="54" spans="1:20" x14ac:dyDescent="0.2">
      <c r="A54" s="1" t="s">
        <v>7</v>
      </c>
      <c r="B54" s="3">
        <v>23860</v>
      </c>
      <c r="C54" s="3"/>
      <c r="D54" s="3">
        <v>1108781.8</v>
      </c>
      <c r="E54" s="3"/>
      <c r="F54" s="3">
        <v>-53008.67</v>
      </c>
      <c r="G54" s="3"/>
      <c r="H54" s="3">
        <v>130722.6</v>
      </c>
      <c r="I54" s="3"/>
      <c r="J54" s="3">
        <v>227454.04</v>
      </c>
      <c r="K54" s="3"/>
      <c r="L54" s="3">
        <v>31038.28</v>
      </c>
      <c r="N54" s="3">
        <v>3095.73</v>
      </c>
      <c r="O54" s="14">
        <f>SUM(B57/(SUM(B57:J57)))</f>
        <v>0.11812732714943651</v>
      </c>
      <c r="P54" s="1" t="s">
        <v>16</v>
      </c>
      <c r="Q54">
        <v>135.21</v>
      </c>
      <c r="R54" s="3">
        <f t="shared" si="0"/>
        <v>15.971995903875312</v>
      </c>
      <c r="S54">
        <v>86.78</v>
      </c>
      <c r="T54" s="3">
        <f>SUM(S54*0.34)</f>
        <v>29.505200000000002</v>
      </c>
    </row>
    <row r="55" spans="1:20" x14ac:dyDescent="0.2">
      <c r="A55" s="5" t="s">
        <v>8</v>
      </c>
      <c r="B55" s="3">
        <v>409709.3</v>
      </c>
      <c r="C55" s="3"/>
      <c r="D55" s="3">
        <v>253881.97</v>
      </c>
      <c r="E55" s="3"/>
      <c r="F55" s="3">
        <v>134532.76</v>
      </c>
      <c r="G55" s="3"/>
      <c r="H55" s="3">
        <v>24883.58</v>
      </c>
      <c r="I55" s="3"/>
      <c r="J55" s="3">
        <v>0</v>
      </c>
      <c r="K55" s="3"/>
      <c r="L55" s="3">
        <v>14781.74</v>
      </c>
      <c r="N55" s="3">
        <v>2115</v>
      </c>
      <c r="O55" s="14">
        <f>SUM(D57/(SUM(B57:J57)))</f>
        <v>0.66434502161410391</v>
      </c>
      <c r="P55" s="1" t="s">
        <v>17</v>
      </c>
      <c r="Q55">
        <v>135.21</v>
      </c>
      <c r="R55" s="3">
        <f t="shared" si="0"/>
        <v>89.826090372442991</v>
      </c>
      <c r="S55">
        <v>86.78</v>
      </c>
      <c r="T55" s="3">
        <f>SUM(S55*0.63)</f>
        <v>54.671399999999998</v>
      </c>
    </row>
    <row r="56" spans="1:20" x14ac:dyDescent="0.2">
      <c r="A56" s="5" t="s">
        <v>9</v>
      </c>
      <c r="B56" s="3">
        <v>199514.74</v>
      </c>
      <c r="C56" s="3"/>
      <c r="D56" s="3">
        <v>46347</v>
      </c>
      <c r="E56" s="3"/>
      <c r="F56" s="3">
        <v>33490.410000000003</v>
      </c>
      <c r="G56" s="3"/>
      <c r="H56" s="3">
        <v>90</v>
      </c>
      <c r="I56" s="3"/>
      <c r="J56" s="3">
        <v>0</v>
      </c>
      <c r="K56" s="3"/>
      <c r="L56" s="3">
        <v>11587.06</v>
      </c>
      <c r="N56" s="3">
        <v>235</v>
      </c>
      <c r="O56" s="14">
        <f>SUM(F57/(SUM(B57:J57)))</f>
        <v>2.4242596390992539E-2</v>
      </c>
      <c r="P56" s="1" t="s">
        <v>18</v>
      </c>
      <c r="Q56">
        <v>135.21</v>
      </c>
      <c r="R56" s="3">
        <f t="shared" si="0"/>
        <v>3.2778414580261015</v>
      </c>
    </row>
    <row r="57" spans="1:20" x14ac:dyDescent="0.2">
      <c r="A57" s="1" t="s">
        <v>10</v>
      </c>
      <c r="B57" s="3">
        <f>SUM(B54+B55-B56)</f>
        <v>234054.56</v>
      </c>
      <c r="C57" s="3"/>
      <c r="D57" s="3">
        <f>SUM(D54+D55-D56)</f>
        <v>1316316.77</v>
      </c>
      <c r="E57" s="3"/>
      <c r="F57" s="3">
        <f>SUM(F54+F55-F56)</f>
        <v>48033.680000000008</v>
      </c>
      <c r="G57" s="3"/>
      <c r="H57" s="3">
        <f>SUM(H54+H55-H56)</f>
        <v>155516.18</v>
      </c>
      <c r="I57" s="3"/>
      <c r="J57" s="3">
        <f>SUM(J54+J55-J56)</f>
        <v>227454.04</v>
      </c>
      <c r="K57" s="3"/>
      <c r="L57" s="3">
        <f>SUM(L54+L55-L56)</f>
        <v>34232.959999999999</v>
      </c>
      <c r="N57" s="3">
        <f>SUM(N54+N55-N56)</f>
        <v>4975.7299999999996</v>
      </c>
      <c r="O57" s="14">
        <f>SUM(H57/(SUM(B57:J57)))</f>
        <v>7.8489009878255106E-2</v>
      </c>
      <c r="P57" s="1" t="s">
        <v>19</v>
      </c>
      <c r="Q57">
        <v>135.21</v>
      </c>
      <c r="R57" s="3">
        <f t="shared" si="0"/>
        <v>10.612499025638874</v>
      </c>
    </row>
    <row r="58" spans="1:20" x14ac:dyDescent="0.2">
      <c r="A58" s="4">
        <v>42156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>
        <f>SUM(J57/(SUM(B57:J57)))</f>
        <v>0.11479604496721199</v>
      </c>
      <c r="P58" s="1" t="s">
        <v>20</v>
      </c>
      <c r="Q58">
        <v>135.21</v>
      </c>
      <c r="R58" s="3">
        <f t="shared" si="0"/>
        <v>15.521573240016734</v>
      </c>
      <c r="S58">
        <v>86.78</v>
      </c>
      <c r="T58" s="3">
        <f>SUM(S58*0.03)</f>
        <v>2.6034000000000002</v>
      </c>
    </row>
    <row r="59" spans="1:20" x14ac:dyDescent="0.2">
      <c r="A59" s="1" t="s">
        <v>7</v>
      </c>
      <c r="B59" s="3">
        <v>234054.56</v>
      </c>
      <c r="C59" s="3"/>
      <c r="D59" s="3">
        <v>1316316.77</v>
      </c>
      <c r="E59" s="3"/>
      <c r="F59" s="3">
        <v>48033.68</v>
      </c>
      <c r="G59" s="3"/>
      <c r="H59" s="3">
        <v>155516.18</v>
      </c>
      <c r="I59" s="3"/>
      <c r="J59" s="3">
        <v>227454.04</v>
      </c>
      <c r="K59" s="3"/>
      <c r="L59" s="3">
        <v>34232.959999999999</v>
      </c>
      <c r="N59" s="3">
        <v>4975.7299999999996</v>
      </c>
      <c r="O59" s="14">
        <f>SUM(B62/(SUM(B62:J62)))</f>
        <v>0.12695657700324081</v>
      </c>
      <c r="P59" s="1" t="s">
        <v>16</v>
      </c>
      <c r="Q59">
        <v>160.41999999999999</v>
      </c>
      <c r="R59" s="3">
        <f t="shared" si="0"/>
        <v>20.366374082859888</v>
      </c>
      <c r="T59" s="3">
        <f>SUM(S59*0.34)</f>
        <v>0</v>
      </c>
    </row>
    <row r="60" spans="1:20" x14ac:dyDescent="0.2">
      <c r="A60" s="5" t="s">
        <v>8</v>
      </c>
      <c r="B60" s="3">
        <v>399476.57</v>
      </c>
      <c r="C60" s="3"/>
      <c r="D60" s="3">
        <v>141650.69</v>
      </c>
      <c r="E60" s="3"/>
      <c r="F60" s="3">
        <v>67985.39</v>
      </c>
      <c r="G60" s="3"/>
      <c r="H60" s="3">
        <v>10909.11</v>
      </c>
      <c r="I60" s="3"/>
      <c r="J60" s="3">
        <v>0</v>
      </c>
      <c r="K60" s="3"/>
      <c r="L60" s="3">
        <v>5144.62</v>
      </c>
      <c r="N60" s="3">
        <v>0</v>
      </c>
      <c r="O60" s="14">
        <f>SUM(D62/(SUM(B62:J62)))</f>
        <v>0.67231624734890094</v>
      </c>
      <c r="P60" s="1" t="s">
        <v>17</v>
      </c>
      <c r="Q60">
        <v>160.41999999999999</v>
      </c>
      <c r="R60" s="3">
        <f t="shared" si="0"/>
        <v>107.85297239971068</v>
      </c>
      <c r="T60" s="3">
        <f>SUM(S60*0.63)</f>
        <v>0</v>
      </c>
    </row>
    <row r="61" spans="1:20" x14ac:dyDescent="0.2">
      <c r="A61" s="5" t="s">
        <v>9</v>
      </c>
      <c r="B61" s="3">
        <v>407759.44</v>
      </c>
      <c r="C61" s="3"/>
      <c r="D61" s="3">
        <v>262362.01</v>
      </c>
      <c r="E61" s="3"/>
      <c r="F61" s="3">
        <v>80364.27</v>
      </c>
      <c r="G61" s="3"/>
      <c r="H61" s="3">
        <v>72573.39</v>
      </c>
      <c r="I61" s="3"/>
      <c r="J61" s="3">
        <v>0</v>
      </c>
      <c r="K61" s="3"/>
      <c r="L61" s="3">
        <v>25866.07</v>
      </c>
      <c r="N61" s="3">
        <v>125</v>
      </c>
      <c r="O61" s="14">
        <f>SUM(F62/(SUM(B62:J62)))</f>
        <v>2.0049508252053882E-2</v>
      </c>
      <c r="P61" s="1" t="s">
        <v>18</v>
      </c>
      <c r="Q61">
        <v>160.41999999999999</v>
      </c>
      <c r="R61" s="3">
        <f t="shared" si="0"/>
        <v>3.2163421137944836</v>
      </c>
    </row>
    <row r="62" spans="1:20" x14ac:dyDescent="0.2">
      <c r="A62" s="1" t="s">
        <v>10</v>
      </c>
      <c r="B62" s="3">
        <f>SUM(B59+B60-B61)</f>
        <v>225771.69</v>
      </c>
      <c r="C62" s="3"/>
      <c r="D62" s="3">
        <f>SUM(D59+D60-D61)</f>
        <v>1195605.45</v>
      </c>
      <c r="E62" s="3"/>
      <c r="F62" s="3">
        <f>SUM(F59+F60-F61)</f>
        <v>35654.800000000003</v>
      </c>
      <c r="G62" s="3"/>
      <c r="H62" s="3">
        <f>SUM(H59+H60-H61)</f>
        <v>93851.89999999998</v>
      </c>
      <c r="I62" s="3"/>
      <c r="J62" s="3">
        <f>SUM(J59+J60-J61)</f>
        <v>227454.04</v>
      </c>
      <c r="K62" s="3"/>
      <c r="L62" s="3">
        <f>SUM(L59+L60-L61)</f>
        <v>13511.510000000002</v>
      </c>
      <c r="N62" s="3">
        <f>SUM(N59+N60-N61)</f>
        <v>4850.7299999999996</v>
      </c>
      <c r="O62" s="14">
        <f>SUM(H62/(SUM(B62:J62)))</f>
        <v>5.2775066569464284E-2</v>
      </c>
      <c r="P62" s="1" t="s">
        <v>19</v>
      </c>
      <c r="Q62">
        <v>160.41999999999999</v>
      </c>
      <c r="R62" s="3">
        <f t="shared" si="0"/>
        <v>8.4661761790734591</v>
      </c>
    </row>
    <row r="63" spans="1:20" x14ac:dyDescent="0.2">
      <c r="A63" s="5" t="s">
        <v>26</v>
      </c>
      <c r="B63" s="3">
        <v>225335.25</v>
      </c>
      <c r="C63" s="3"/>
      <c r="D63" s="3"/>
      <c r="E63" s="3"/>
      <c r="F63" s="3">
        <v>51842.85</v>
      </c>
      <c r="G63" s="3"/>
      <c r="H63" s="3"/>
      <c r="I63" s="3"/>
      <c r="J63" s="3"/>
      <c r="K63" s="3"/>
      <c r="L63" s="3">
        <v>14758.85</v>
      </c>
      <c r="N63" s="3"/>
      <c r="O63" s="14">
        <f>SUM(J62/(SUM(B62:J62)))</f>
        <v>0.12790260082634017</v>
      </c>
      <c r="P63" s="1" t="s">
        <v>20</v>
      </c>
      <c r="Q63">
        <v>160.41999999999999</v>
      </c>
      <c r="R63" s="3">
        <f t="shared" si="0"/>
        <v>20.518135224561487</v>
      </c>
      <c r="T63" s="3">
        <f>SUM(S63*0.03)</f>
        <v>0</v>
      </c>
    </row>
    <row r="64" spans="1:20" x14ac:dyDescent="0.2">
      <c r="A64" s="1" t="s">
        <v>42</v>
      </c>
      <c r="B64" s="7" t="s">
        <v>11</v>
      </c>
      <c r="C64" s="3"/>
      <c r="D64" s="3"/>
      <c r="E64" s="3"/>
      <c r="F64" s="7" t="s">
        <v>11</v>
      </c>
      <c r="G64" s="3"/>
      <c r="H64" s="3"/>
      <c r="I64" s="3"/>
      <c r="J64" s="3"/>
      <c r="K64" s="3"/>
      <c r="L64" s="3"/>
      <c r="N64" s="3"/>
      <c r="O64" s="14"/>
    </row>
    <row r="65" spans="1:21" x14ac:dyDescent="0.2">
      <c r="A65" s="5" t="s">
        <v>30</v>
      </c>
      <c r="B65" s="3"/>
      <c r="C65" s="3"/>
      <c r="D65" s="3"/>
      <c r="E65" s="3"/>
      <c r="F65" s="2" t="s">
        <v>11</v>
      </c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SUM(B62:B65)</f>
        <v>451106.94</v>
      </c>
      <c r="C66" s="3"/>
      <c r="D66" s="3">
        <f>SUM(D62:D65)</f>
        <v>1195605.45</v>
      </c>
      <c r="E66" s="3"/>
      <c r="F66" s="3">
        <f>SUM(F62:F65)</f>
        <v>87497.65</v>
      </c>
      <c r="G66" s="3"/>
      <c r="H66" s="3">
        <f>SUM(H62:H65)</f>
        <v>93851.89999999998</v>
      </c>
      <c r="I66" s="3"/>
      <c r="J66" s="3">
        <f>SUM(J62:J65)</f>
        <v>227454.04</v>
      </c>
      <c r="K66" s="3"/>
      <c r="L66" s="3">
        <f>SUM(L62:L65)</f>
        <v>28270.36</v>
      </c>
      <c r="N66" s="3">
        <f>SUM(N62:N65)</f>
        <v>4850.7299999999996</v>
      </c>
      <c r="O66" s="14"/>
      <c r="P66" s="1" t="s">
        <v>16</v>
      </c>
      <c r="R66" s="2">
        <f>SUM(R3,R9,R14,R19,R24,R29,R34,R39,R44,R49,R54,R59)</f>
        <v>292.38815782677267</v>
      </c>
      <c r="T66" s="2">
        <f>SUM(T3,T9,T14,T19,T24,T29,T34,T39,T44,T49,T54,T59)</f>
        <v>254.22480000000002</v>
      </c>
      <c r="U66" s="2">
        <f>SUM(R66+T66+(R68*0.4))</f>
        <v>549.96567171685308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SUM(R5,R10,R15,R20,R25,R30,R35,R40,R45,R50,R55,R60)</f>
        <v>938.91139812743074</v>
      </c>
      <c r="T67" s="2">
        <f>SUM(T5,T10,T15,T20,T25,T30,T35,T40,T45,T50,T55,T60)</f>
        <v>471.06360000000001</v>
      </c>
      <c r="U67" s="2">
        <f>SUM(R67+T67+(R68*0.35))</f>
        <v>1412.9086227812511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SUM(R6,R11,R16,R21,R26,R31,R36,R41,R46,R51,R56,R61)</f>
        <v>8.3817847252011237</v>
      </c>
      <c r="T68" s="1"/>
    </row>
    <row r="69" spans="1:21" x14ac:dyDescent="0.2">
      <c r="B69" s="3">
        <f>SUM(B6,B11,B16,B21,B26,B31,B36,B41,B46,B51,B56,B61)</f>
        <v>2735092.2899999996</v>
      </c>
      <c r="C69" s="3"/>
      <c r="D69" s="3">
        <f>SUM(D6,D11,D16,D21,D26,D31,D36,D41,D46,D51,D56,D61)</f>
        <v>1474684.14</v>
      </c>
      <c r="E69" s="3"/>
      <c r="F69" s="3">
        <f>SUM(F6,F11,F16,F21,F26,F31,F36,F41,F46,F51,F56,F61)</f>
        <v>456042.28000000014</v>
      </c>
      <c r="G69" s="3"/>
      <c r="H69" s="3">
        <f>SUM(H6,H11,H16,H21,H26,H31,H36,H41,H46,H51,H56,H61)</f>
        <v>118374.92</v>
      </c>
      <c r="I69" s="3"/>
      <c r="J69" s="3">
        <f>SUM(J6,J11,J16,J21,J26,J31,J36,J41,J46,J51,J56,J61)</f>
        <v>88375</v>
      </c>
      <c r="K69" s="3"/>
      <c r="L69" s="3">
        <f>SUM(L6,L11,L16,L21,L26,L31,L36,L41,L46,L51,L56,L61)</f>
        <v>172594.04</v>
      </c>
      <c r="N69" s="3">
        <f>SUM(N6,N11,N16,N21,N26,N31,N36,N41,N46,N51,N56,N61)</f>
        <v>4942.54</v>
      </c>
      <c r="O69" s="14"/>
      <c r="P69" s="1" t="s">
        <v>19</v>
      </c>
      <c r="R69" s="2">
        <f>SUM(R7,R12,R17,R22,R27,R32,R37,R42,R47,R52,R57,R62)</f>
        <v>132.4078452316661</v>
      </c>
      <c r="T69" s="1"/>
      <c r="U69" s="2">
        <f>SUM(R69+(R68*0.125))</f>
        <v>133.45556832231625</v>
      </c>
    </row>
    <row r="70" spans="1:21" x14ac:dyDescent="0.2">
      <c r="B70" s="15">
        <f>SUM(B32/B69)</f>
        <v>0.13258237439585635</v>
      </c>
      <c r="C70" s="3"/>
      <c r="D70" s="15">
        <f>SUM(D32/D69)</f>
        <v>0.5475196064697625</v>
      </c>
      <c r="E70" s="3"/>
      <c r="F70" s="15">
        <f>SUM(F32/F69)</f>
        <v>9.6090169534280886E-2</v>
      </c>
      <c r="G70" s="3"/>
      <c r="H70" s="15">
        <f>SUM(H32/H69)</f>
        <v>1.3185627496094612</v>
      </c>
      <c r="I70" s="3"/>
      <c r="J70" s="15">
        <f>SUM(J32/J69)</f>
        <v>2.5737373691654879</v>
      </c>
      <c r="K70" s="3"/>
      <c r="L70" s="15">
        <f>SUM(L32/L69)</f>
        <v>0.14524464460070577</v>
      </c>
      <c r="N70" s="15">
        <f>SUM(N32/N69)</f>
        <v>8.2407021490974279E-3</v>
      </c>
      <c r="O70" s="14"/>
      <c r="P70" s="1" t="s">
        <v>20</v>
      </c>
      <c r="R70" s="2">
        <f>SUM(R8,R13,R18,R23,R28,R33,R38,R43,R48,R53,R58,R63)</f>
        <v>220.68081408892937</v>
      </c>
      <c r="T70" s="2">
        <f>SUM(T8,T13,T18,T23,T28,T33,T38,T43,T48,T53,T58,T63)</f>
        <v>22.4316</v>
      </c>
      <c r="U70" s="2">
        <f>SUM(R70+T70+(R68*0.125))</f>
        <v>244.16013717957952</v>
      </c>
    </row>
    <row r="72" spans="1:21" x14ac:dyDescent="0.2">
      <c r="B72">
        <v>290299.81</v>
      </c>
      <c r="D72">
        <v>234054.56</v>
      </c>
    </row>
    <row r="73" spans="1:21" x14ac:dyDescent="0.2">
      <c r="D73">
        <v>290299.81</v>
      </c>
    </row>
    <row r="74" spans="1:21" x14ac:dyDescent="0.2">
      <c r="B74">
        <v>397618.2</v>
      </c>
      <c r="D74">
        <v>-397618.2</v>
      </c>
    </row>
    <row r="75" spans="1:21" x14ac:dyDescent="0.2">
      <c r="D75" t="s">
        <v>11</v>
      </c>
    </row>
    <row r="76" spans="1:21" x14ac:dyDescent="0.2">
      <c r="B76">
        <v>163481.76999999999</v>
      </c>
    </row>
    <row r="77" spans="1:21" x14ac:dyDescent="0.2">
      <c r="B77">
        <v>61665.42</v>
      </c>
      <c r="D77">
        <v>225147.19</v>
      </c>
    </row>
  </sheetData>
  <pageMargins left="0.7" right="0.7" top="0.75" bottom="0.75" header="0.3" footer="0.3"/>
  <pageSetup scale="72" orientation="landscape" r:id="rId1"/>
  <rowBreaks count="1" manualBreakCount="1">
    <brk id="47" max="16383" man="1"/>
  </rowBreaks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0" zoomScaleNormal="100" workbookViewId="0">
      <selection activeCell="U72" sqref="U72"/>
    </sheetView>
  </sheetViews>
  <sheetFormatPr defaultRowHeight="12.75" x14ac:dyDescent="0.2"/>
  <cols>
    <col min="1" max="1" width="23.140625" customWidth="1"/>
    <col min="2" max="2" width="15.42578125" customWidth="1"/>
    <col min="3" max="3" width="2.42578125" customWidth="1"/>
    <col min="4" max="4" width="13.28515625" customWidth="1"/>
    <col min="5" max="5" width="1.85546875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41456</v>
      </c>
      <c r="O2" s="14"/>
    </row>
    <row r="3" spans="1:20" x14ac:dyDescent="0.2">
      <c r="A3" s="1" t="s">
        <v>7</v>
      </c>
      <c r="B3" s="3">
        <v>760407.28</v>
      </c>
      <c r="C3" s="3"/>
      <c r="D3" s="3">
        <v>454532.97</v>
      </c>
      <c r="E3" s="3"/>
      <c r="F3" s="3">
        <v>53896.09</v>
      </c>
      <c r="G3" s="3"/>
      <c r="H3" s="3">
        <v>146378.4</v>
      </c>
      <c r="I3" s="3"/>
      <c r="J3" s="3">
        <v>328674.94</v>
      </c>
      <c r="K3" s="3"/>
      <c r="L3" s="3">
        <v>33447.21</v>
      </c>
      <c r="N3" s="3">
        <v>3129.92</v>
      </c>
      <c r="O3" s="14">
        <f>SUM(B6/(SUM(B6:J6)))</f>
        <v>0.48388257774881677</v>
      </c>
      <c r="P3" s="1" t="s">
        <v>16</v>
      </c>
      <c r="Q3">
        <v>117.91</v>
      </c>
      <c r="R3" s="3">
        <f>SUM(O3*Q3)</f>
        <v>57.05459474236298</v>
      </c>
      <c r="S3">
        <v>342.16</v>
      </c>
      <c r="T3" s="3">
        <f>SUM(S3*0.34)</f>
        <v>116.33440000000002</v>
      </c>
    </row>
    <row r="4" spans="1:20" x14ac:dyDescent="0.2">
      <c r="A4" s="5" t="s">
        <v>8</v>
      </c>
      <c r="B4" s="3">
        <v>65172.88</v>
      </c>
      <c r="C4" s="3"/>
      <c r="D4" s="3">
        <v>2035.96</v>
      </c>
      <c r="E4" s="3"/>
      <c r="F4" s="3">
        <v>11039.22</v>
      </c>
      <c r="G4" s="3"/>
      <c r="H4" s="3">
        <v>203.58</v>
      </c>
      <c r="I4" s="3"/>
      <c r="J4" s="3">
        <v>346.1</v>
      </c>
      <c r="K4" s="3"/>
      <c r="L4" s="3">
        <v>0</v>
      </c>
      <c r="N4" s="3">
        <v>0</v>
      </c>
      <c r="O4" s="14">
        <f>SUM(D6/(SUM(B6:J6)))</f>
        <v>0.19817473297940988</v>
      </c>
      <c r="P4" s="1" t="s">
        <v>17</v>
      </c>
      <c r="Q4">
        <v>117.91</v>
      </c>
      <c r="R4" s="3">
        <f t="shared" ref="R4:R62" si="0">SUM(O4*Q4)</f>
        <v>23.366782765602217</v>
      </c>
      <c r="S4">
        <v>342.16</v>
      </c>
      <c r="T4" s="3">
        <f>SUM(S4*0.63)</f>
        <v>215.56080000000003</v>
      </c>
    </row>
    <row r="5" spans="1:20" x14ac:dyDescent="0.2">
      <c r="A5" s="5" t="s">
        <v>9</v>
      </c>
      <c r="B5" s="3">
        <v>201175.58</v>
      </c>
      <c r="C5" s="3"/>
      <c r="D5" s="3">
        <v>200843.23</v>
      </c>
      <c r="E5" s="3"/>
      <c r="F5" s="3">
        <v>40298.44</v>
      </c>
      <c r="G5" s="3"/>
      <c r="H5" s="3">
        <v>7750</v>
      </c>
      <c r="I5" s="3"/>
      <c r="J5" s="3">
        <v>82215</v>
      </c>
      <c r="K5" s="3"/>
      <c r="L5" s="3">
        <v>7452.03</v>
      </c>
      <c r="N5" s="3">
        <v>2291.0700000000002</v>
      </c>
      <c r="O5" s="14">
        <f>SUM(F6/(SUM(B6:J6)))</f>
        <v>1.9092352210585143E-2</v>
      </c>
      <c r="P5" s="1" t="s">
        <v>18</v>
      </c>
      <c r="Q5">
        <v>117.91</v>
      </c>
      <c r="R5" s="3">
        <f t="shared" si="0"/>
        <v>2.2511792491500939</v>
      </c>
    </row>
    <row r="6" spans="1:20" x14ac:dyDescent="0.2">
      <c r="A6" s="1" t="s">
        <v>10</v>
      </c>
      <c r="B6" s="3">
        <f>SUM(B3+B4-B5)</f>
        <v>624404.58000000007</v>
      </c>
      <c r="C6" s="3"/>
      <c r="D6" s="3">
        <f>SUM(D3+D4-D5)</f>
        <v>255725.69999999998</v>
      </c>
      <c r="E6" s="3"/>
      <c r="F6" s="3">
        <f>SUM(F3+F4-F5)</f>
        <v>24636.869999999995</v>
      </c>
      <c r="G6" s="3"/>
      <c r="H6" s="3">
        <f>SUM(H3+H4-H5)</f>
        <v>138831.97999999998</v>
      </c>
      <c r="I6" s="3"/>
      <c r="J6" s="3">
        <f>SUM(J3+J4-J5)</f>
        <v>246806.03999999998</v>
      </c>
      <c r="K6" s="3"/>
      <c r="L6" s="3">
        <f>SUM(L3+L4-L5)</f>
        <v>25995.18</v>
      </c>
      <c r="N6" s="3">
        <f>SUM(N3+N4-N5)</f>
        <v>838.84999999999991</v>
      </c>
      <c r="O6" s="14">
        <f>SUM(H6/(SUM(B6:J6)))</f>
        <v>0.10758789814830019</v>
      </c>
      <c r="P6" s="1" t="s">
        <v>19</v>
      </c>
      <c r="Q6">
        <v>117.91</v>
      </c>
      <c r="R6" s="3">
        <f t="shared" si="0"/>
        <v>12.685689070666076</v>
      </c>
    </row>
    <row r="7" spans="1:20" x14ac:dyDescent="0.2">
      <c r="A7" s="4">
        <v>41487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0.19126243891288811</v>
      </c>
      <c r="P7" s="1" t="s">
        <v>20</v>
      </c>
      <c r="Q7">
        <v>117.91</v>
      </c>
      <c r="R7" s="3">
        <f t="shared" si="0"/>
        <v>22.551754172218637</v>
      </c>
      <c r="S7">
        <v>342.16</v>
      </c>
      <c r="T7" s="3">
        <f>SUM(S7*0.03)</f>
        <v>10.264800000000001</v>
      </c>
    </row>
    <row r="8" spans="1:20" x14ac:dyDescent="0.2">
      <c r="A8" s="1" t="s">
        <v>7</v>
      </c>
      <c r="B8" s="3">
        <v>624404.57999999996</v>
      </c>
      <c r="C8" s="3"/>
      <c r="D8" s="3">
        <v>255725.7</v>
      </c>
      <c r="E8" s="3"/>
      <c r="F8" s="3">
        <v>24636.87</v>
      </c>
      <c r="G8" s="3"/>
      <c r="H8" s="3">
        <v>138831.98000000001</v>
      </c>
      <c r="I8" s="3"/>
      <c r="J8" s="3">
        <v>246806.04</v>
      </c>
      <c r="K8" s="3"/>
      <c r="L8" s="3">
        <v>25995.18</v>
      </c>
      <c r="N8" s="3">
        <v>838.85</v>
      </c>
      <c r="O8" s="14">
        <f>SUM(B11/(SUM(B11:J11)))</f>
        <v>0.44778146320708906</v>
      </c>
      <c r="P8" s="1" t="s">
        <v>16</v>
      </c>
      <c r="Q8">
        <v>93.22</v>
      </c>
      <c r="R8" s="3">
        <f t="shared" si="0"/>
        <v>41.742188000164845</v>
      </c>
      <c r="S8">
        <v>49.59</v>
      </c>
      <c r="T8" s="3">
        <f>SUM(S8*0.34)</f>
        <v>16.860600000000002</v>
      </c>
    </row>
    <row r="9" spans="1:20" x14ac:dyDescent="0.2">
      <c r="A9" s="5" t="s">
        <v>8</v>
      </c>
      <c r="B9" s="3">
        <v>42862.16</v>
      </c>
      <c r="C9" s="3"/>
      <c r="D9" s="3">
        <v>1409.3</v>
      </c>
      <c r="E9" s="3"/>
      <c r="F9" s="3">
        <v>1092.46</v>
      </c>
      <c r="G9" s="3"/>
      <c r="H9" s="3">
        <v>140.93</v>
      </c>
      <c r="I9" s="3"/>
      <c r="J9" s="3">
        <v>261.66000000000003</v>
      </c>
      <c r="K9" s="3"/>
      <c r="L9" s="3">
        <v>-1277.96</v>
      </c>
      <c r="N9" s="3">
        <v>0</v>
      </c>
      <c r="O9" s="14">
        <f>SUM(D11/(SUM(B11:J11)))</f>
        <v>0.20117409602509276</v>
      </c>
      <c r="P9" s="1" t="s">
        <v>17</v>
      </c>
      <c r="Q9">
        <v>93.22</v>
      </c>
      <c r="R9" s="3">
        <f t="shared" si="0"/>
        <v>18.753449231459147</v>
      </c>
      <c r="S9">
        <v>49.59</v>
      </c>
      <c r="T9" s="3">
        <f>SUM(S9*0.63)</f>
        <v>31.241700000000002</v>
      </c>
    </row>
    <row r="10" spans="1:20" x14ac:dyDescent="0.2">
      <c r="A10" s="5" t="s">
        <v>9</v>
      </c>
      <c r="B10" s="3">
        <v>185162.25</v>
      </c>
      <c r="C10" s="3"/>
      <c r="D10" s="3">
        <v>40540.65</v>
      </c>
      <c r="E10" s="3"/>
      <c r="F10" s="3">
        <v>33817.49</v>
      </c>
      <c r="G10" s="3"/>
      <c r="H10" s="3">
        <v>0</v>
      </c>
      <c r="I10" s="3"/>
      <c r="J10" s="3">
        <v>0</v>
      </c>
      <c r="K10" s="3"/>
      <c r="L10" s="3">
        <v>1720.26</v>
      </c>
      <c r="N10" s="3">
        <v>1295.58</v>
      </c>
      <c r="O10" s="14">
        <f>SUM(F11/(SUM(B11:J11)))</f>
        <v>-7.5123301993164377E-3</v>
      </c>
      <c r="P10" s="1" t="s">
        <v>18</v>
      </c>
      <c r="Q10">
        <v>93.22</v>
      </c>
      <c r="R10" s="3">
        <f t="shared" si="0"/>
        <v>-0.70029942118027833</v>
      </c>
    </row>
    <row r="11" spans="1:20" x14ac:dyDescent="0.2">
      <c r="A11" s="1" t="s">
        <v>10</v>
      </c>
      <c r="B11" s="3">
        <f>SUM(B8+B9-B10)</f>
        <v>482104.49</v>
      </c>
      <c r="C11" s="3"/>
      <c r="D11" s="3">
        <f>SUM(D8+D9-D10)</f>
        <v>216594.35</v>
      </c>
      <c r="E11" s="3"/>
      <c r="F11" s="3">
        <f>SUM(F8+F9-F10)</f>
        <v>-8088.16</v>
      </c>
      <c r="G11" s="3"/>
      <c r="H11" s="3">
        <f>SUM(H8+H9-H10)</f>
        <v>138972.91</v>
      </c>
      <c r="I11" s="3"/>
      <c r="J11" s="3">
        <f>SUM(J8+J9-J10)</f>
        <v>247067.7</v>
      </c>
      <c r="K11" s="3"/>
      <c r="L11" s="3">
        <f>SUM(L8+L9-L10)</f>
        <v>22996.960000000003</v>
      </c>
      <c r="N11" s="3">
        <f>SUM(N8+N9-N10)</f>
        <v>-456.7299999999999</v>
      </c>
      <c r="O11" s="14">
        <f>SUM(H11/(SUM(B11:J11)))</f>
        <v>0.1290788496617136</v>
      </c>
      <c r="P11" s="1" t="s">
        <v>19</v>
      </c>
      <c r="Q11">
        <v>93.22</v>
      </c>
      <c r="R11" s="3">
        <f t="shared" si="0"/>
        <v>12.032730365464941</v>
      </c>
    </row>
    <row r="12" spans="1:20" x14ac:dyDescent="0.2">
      <c r="A12" s="4">
        <v>41518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0.229477921305421</v>
      </c>
      <c r="P12" s="1" t="s">
        <v>20</v>
      </c>
      <c r="Q12">
        <v>93.22</v>
      </c>
      <c r="R12" s="3">
        <f t="shared" si="0"/>
        <v>21.391931824091344</v>
      </c>
      <c r="S12">
        <v>49.59</v>
      </c>
      <c r="T12" s="3">
        <f>SUM(S12*0.03)</f>
        <v>1.4877</v>
      </c>
    </row>
    <row r="13" spans="1:20" x14ac:dyDescent="0.2">
      <c r="A13" s="1" t="s">
        <v>7</v>
      </c>
      <c r="B13" s="3">
        <v>482104.49</v>
      </c>
      <c r="C13" s="3"/>
      <c r="D13" s="3">
        <v>216594.35</v>
      </c>
      <c r="E13" s="3"/>
      <c r="F13" s="3">
        <v>-8088.16</v>
      </c>
      <c r="G13" s="3"/>
      <c r="H13" s="3">
        <v>138972.91</v>
      </c>
      <c r="I13" s="3"/>
      <c r="J13" s="3">
        <v>247067.7</v>
      </c>
      <c r="K13" s="3"/>
      <c r="L13" s="3">
        <v>22996.959999999999</v>
      </c>
      <c r="N13" s="3">
        <v>-456.73</v>
      </c>
      <c r="O13" s="14">
        <f>SUM(B16/(SUM(B16:J16)))</f>
        <v>0.31050828093361826</v>
      </c>
      <c r="P13" s="1" t="s">
        <v>16</v>
      </c>
      <c r="Q13">
        <v>69.81</v>
      </c>
      <c r="R13" s="3">
        <f t="shared" si="0"/>
        <v>21.676583091975893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17597.68</v>
      </c>
      <c r="C14" s="3"/>
      <c r="D14" s="3">
        <v>385.08</v>
      </c>
      <c r="E14" s="3"/>
      <c r="F14" s="3">
        <v>1085.1099999999999</v>
      </c>
      <c r="G14" s="3"/>
      <c r="H14" s="3">
        <v>38.51</v>
      </c>
      <c r="I14" s="3"/>
      <c r="J14" s="3">
        <v>65.47</v>
      </c>
      <c r="K14" s="3"/>
      <c r="L14" s="3">
        <v>10894.24</v>
      </c>
      <c r="N14" s="3">
        <v>0</v>
      </c>
      <c r="O14" s="14">
        <f>SUM(D16/(SUM(B16:J16)))</f>
        <v>0.26362247818106421</v>
      </c>
      <c r="P14" s="1" t="s">
        <v>17</v>
      </c>
      <c r="Q14">
        <v>69.81</v>
      </c>
      <c r="R14" s="3">
        <f t="shared" si="0"/>
        <v>18.403485201820093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251978.62</v>
      </c>
      <c r="C15" s="3"/>
      <c r="D15" s="3">
        <v>6661.38</v>
      </c>
      <c r="E15" s="3"/>
      <c r="F15" s="3">
        <v>39383</v>
      </c>
      <c r="G15" s="3"/>
      <c r="H15" s="3">
        <v>0</v>
      </c>
      <c r="I15" s="3"/>
      <c r="J15" s="3">
        <v>0</v>
      </c>
      <c r="K15" s="3"/>
      <c r="L15" s="3">
        <v>19787.259999999998</v>
      </c>
      <c r="N15" s="3">
        <v>0</v>
      </c>
      <c r="O15" s="14">
        <f>SUM(F16/(SUM(B16:J16)))</f>
        <v>-5.8142444046199344E-2</v>
      </c>
      <c r="P15" s="1" t="s">
        <v>18</v>
      </c>
      <c r="Q15">
        <v>69.81</v>
      </c>
      <c r="R15" s="3">
        <f t="shared" si="0"/>
        <v>-4.0589240188651763</v>
      </c>
    </row>
    <row r="16" spans="1:20" x14ac:dyDescent="0.2">
      <c r="A16" s="1" t="s">
        <v>10</v>
      </c>
      <c r="B16" s="3">
        <f>SUM(B13+B14-B15)</f>
        <v>247723.55</v>
      </c>
      <c r="C16" s="3"/>
      <c r="D16" s="3">
        <f>SUM(D13+D14-D15)</f>
        <v>210318.05</v>
      </c>
      <c r="E16" s="3"/>
      <c r="F16" s="3">
        <f>SUM(F13+F14-F15)</f>
        <v>-46386.05</v>
      </c>
      <c r="G16" s="3"/>
      <c r="H16" s="3">
        <f>SUM(H13+H14-H15)</f>
        <v>139011.42000000001</v>
      </c>
      <c r="I16" s="3"/>
      <c r="J16" s="3">
        <f>SUM(J13+J14-J15)</f>
        <v>247133.17</v>
      </c>
      <c r="K16" s="3"/>
      <c r="L16" s="3">
        <f>SUM(L13+L14-L15)</f>
        <v>14103.939999999999</v>
      </c>
      <c r="N16" s="3">
        <f>SUM(N13+N14-N15)</f>
        <v>-456.73</v>
      </c>
      <c r="O16" s="14">
        <f>SUM(H16/(SUM(B16:J16)))</f>
        <v>0.17424341389561551</v>
      </c>
      <c r="P16" s="1" t="s">
        <v>19</v>
      </c>
      <c r="Q16">
        <v>69.81</v>
      </c>
      <c r="R16" s="3">
        <f t="shared" si="0"/>
        <v>12.16393272405292</v>
      </c>
    </row>
    <row r="17" spans="1:20" x14ac:dyDescent="0.2">
      <c r="A17" s="4">
        <v>41548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0.30976827103590132</v>
      </c>
      <c r="P17" s="1" t="s">
        <v>20</v>
      </c>
      <c r="Q17">
        <v>69.81</v>
      </c>
      <c r="R17" s="3">
        <f t="shared" si="0"/>
        <v>21.624923001016271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247723.55</v>
      </c>
      <c r="C18" s="3"/>
      <c r="D18" s="3">
        <v>210318.05</v>
      </c>
      <c r="E18" s="3"/>
      <c r="F18" s="3">
        <v>-46386.05</v>
      </c>
      <c r="G18" s="3"/>
      <c r="H18" s="3">
        <v>139011.42000000001</v>
      </c>
      <c r="I18" s="3"/>
      <c r="J18" s="3">
        <v>247133.17</v>
      </c>
      <c r="K18" s="3"/>
      <c r="L18" s="3">
        <v>14103.94</v>
      </c>
      <c r="N18" s="3">
        <v>-456.73</v>
      </c>
      <c r="O18" s="14">
        <f>SUM(B21/(SUM(B21:J21)))</f>
        <v>0.28084354128630346</v>
      </c>
      <c r="P18" s="1" t="s">
        <v>16</v>
      </c>
      <c r="Q18">
        <v>51.33</v>
      </c>
      <c r="R18" s="3">
        <f t="shared" si="0"/>
        <v>14.415698974225956</v>
      </c>
      <c r="S18">
        <v>37.6</v>
      </c>
      <c r="T18" s="3">
        <f>SUM(S18*0.34)</f>
        <v>12.784000000000001</v>
      </c>
    </row>
    <row r="19" spans="1:20" x14ac:dyDescent="0.2">
      <c r="A19" s="5" t="s">
        <v>8</v>
      </c>
      <c r="B19" s="3">
        <v>56400.87</v>
      </c>
      <c r="C19" s="3"/>
      <c r="D19" s="3">
        <v>21132.94</v>
      </c>
      <c r="E19" s="3"/>
      <c r="F19" s="3">
        <v>9939.5400000000009</v>
      </c>
      <c r="G19" s="3"/>
      <c r="H19" s="3">
        <v>2113.29</v>
      </c>
      <c r="I19" s="3"/>
      <c r="J19" s="3">
        <v>3592.61</v>
      </c>
      <c r="K19" s="3"/>
      <c r="L19" s="3">
        <v>24374.06</v>
      </c>
      <c r="N19" s="3">
        <v>0</v>
      </c>
      <c r="O19" s="14">
        <f>SUM(D21/(SUM(B21:J21)))</f>
        <v>0.26197658175046584</v>
      </c>
      <c r="P19" s="1" t="s">
        <v>17</v>
      </c>
      <c r="Q19">
        <v>51.33</v>
      </c>
      <c r="R19" s="3">
        <f t="shared" si="0"/>
        <v>13.447257941251411</v>
      </c>
      <c r="S19">
        <v>37.6</v>
      </c>
      <c r="T19" s="3">
        <f>SUM(S19*0.63)</f>
        <v>23.688000000000002</v>
      </c>
    </row>
    <row r="20" spans="1:20" x14ac:dyDescent="0.2">
      <c r="A20" s="5" t="s">
        <v>9</v>
      </c>
      <c r="B20" s="3">
        <v>119950.68</v>
      </c>
      <c r="C20" s="3"/>
      <c r="D20" s="3">
        <v>59649.97</v>
      </c>
      <c r="E20" s="3"/>
      <c r="F20" s="3">
        <v>40976.68</v>
      </c>
      <c r="G20" s="3"/>
      <c r="H20" s="3">
        <v>14614.36</v>
      </c>
      <c r="I20" s="3"/>
      <c r="J20" s="3">
        <v>0</v>
      </c>
      <c r="K20" s="3"/>
      <c r="L20" s="3">
        <v>19708.84</v>
      </c>
      <c r="N20" s="3">
        <v>0</v>
      </c>
      <c r="O20" s="14">
        <f>SUM(F21/(SUM(B21:J21)))</f>
        <v>-0.11806136345649666</v>
      </c>
      <c r="P20" s="1" t="s">
        <v>18</v>
      </c>
      <c r="Q20">
        <v>51.33</v>
      </c>
      <c r="R20" s="3">
        <f t="shared" si="0"/>
        <v>-6.0600897862219734</v>
      </c>
    </row>
    <row r="21" spans="1:20" x14ac:dyDescent="0.2">
      <c r="A21" s="1" t="s">
        <v>10</v>
      </c>
      <c r="B21" s="3">
        <f>SUM(B18+B19-B20)</f>
        <v>184173.74</v>
      </c>
      <c r="C21" s="3"/>
      <c r="D21" s="3">
        <f>SUM(D18+D19-D20)</f>
        <v>171801.02</v>
      </c>
      <c r="E21" s="3"/>
      <c r="F21" s="3">
        <f>SUM(F18+F19-F20)</f>
        <v>-77423.19</v>
      </c>
      <c r="G21" s="3"/>
      <c r="H21" s="3">
        <f>SUM(H18+H19-H20)</f>
        <v>126510.35000000002</v>
      </c>
      <c r="I21" s="3"/>
      <c r="J21" s="3">
        <f>SUM(J18+J19-J20)</f>
        <v>250725.78</v>
      </c>
      <c r="K21" s="3"/>
      <c r="L21" s="3">
        <f>SUM(L18+L19-L20)</f>
        <v>18769.16</v>
      </c>
      <c r="N21" s="3">
        <f>SUM(N18+N19-N20)</f>
        <v>-456.73</v>
      </c>
      <c r="O21" s="14">
        <f>SUM(H21/(SUM(B21:J21)))</f>
        <v>0.19291357553671715</v>
      </c>
      <c r="P21" s="1" t="s">
        <v>19</v>
      </c>
      <c r="Q21">
        <v>51.33</v>
      </c>
      <c r="R21" s="3">
        <f t="shared" si="0"/>
        <v>9.9022538322996905</v>
      </c>
    </row>
    <row r="22" spans="1:20" x14ac:dyDescent="0.2">
      <c r="A22" s="4">
        <v>41579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0.38232766488301012</v>
      </c>
      <c r="P22" s="1" t="s">
        <v>20</v>
      </c>
      <c r="Q22">
        <v>51.33</v>
      </c>
      <c r="R22" s="3">
        <f t="shared" si="0"/>
        <v>19.624879038444909</v>
      </c>
      <c r="S22">
        <v>37.6</v>
      </c>
      <c r="T22" s="3">
        <f>SUM(S22*0.03)</f>
        <v>1.1279999999999999</v>
      </c>
    </row>
    <row r="23" spans="1:20" x14ac:dyDescent="0.2">
      <c r="A23" s="1" t="s">
        <v>7</v>
      </c>
      <c r="B23" s="3">
        <v>184173.74</v>
      </c>
      <c r="C23" s="3"/>
      <c r="D23" s="3">
        <v>171801.02</v>
      </c>
      <c r="E23" s="3"/>
      <c r="F23" s="3">
        <v>-77423.19</v>
      </c>
      <c r="G23" s="3"/>
      <c r="H23" s="3">
        <v>126510.35</v>
      </c>
      <c r="I23" s="3"/>
      <c r="J23" s="3">
        <v>250725.78</v>
      </c>
      <c r="K23" s="3"/>
      <c r="L23" s="3">
        <v>18769.16</v>
      </c>
      <c r="N23" s="3">
        <v>-456.73</v>
      </c>
      <c r="O23" s="14">
        <f>SUM(B26/(SUM(B26:J26)))</f>
        <v>0.4488067746860061</v>
      </c>
      <c r="P23" s="1" t="s">
        <v>16</v>
      </c>
      <c r="Q23">
        <v>79.39</v>
      </c>
      <c r="R23" s="3">
        <f t="shared" si="0"/>
        <v>35.630769842322024</v>
      </c>
      <c r="S23">
        <v>151.22999999999999</v>
      </c>
      <c r="T23" s="3">
        <f>SUM(S23*0.34)</f>
        <v>51.418199999999999</v>
      </c>
    </row>
    <row r="24" spans="1:20" x14ac:dyDescent="0.2">
      <c r="A24" s="5" t="s">
        <v>8</v>
      </c>
      <c r="B24" s="3">
        <v>722772.7</v>
      </c>
      <c r="C24" s="3"/>
      <c r="D24" s="3">
        <v>337494.4</v>
      </c>
      <c r="E24" s="3"/>
      <c r="F24" s="3">
        <v>159049.53</v>
      </c>
      <c r="G24" s="3"/>
      <c r="H24" s="3">
        <v>33734.44</v>
      </c>
      <c r="I24" s="3"/>
      <c r="J24" s="3">
        <v>57407.29</v>
      </c>
      <c r="K24" s="3"/>
      <c r="L24" s="3">
        <v>18303.87</v>
      </c>
      <c r="N24" s="3">
        <v>0</v>
      </c>
      <c r="O24" s="14">
        <f>SUM(D26/(SUM(B26:J26)))</f>
        <v>0.2273675620457698</v>
      </c>
      <c r="P24" s="1" t="s">
        <v>17</v>
      </c>
      <c r="Q24">
        <v>79.39</v>
      </c>
      <c r="R24" s="3">
        <f t="shared" si="0"/>
        <v>18.050710750813664</v>
      </c>
      <c r="S24">
        <v>151.22999999999999</v>
      </c>
      <c r="T24" s="3">
        <f>SUM(S24*0.63)</f>
        <v>95.274899999999988</v>
      </c>
    </row>
    <row r="25" spans="1:20" x14ac:dyDescent="0.2">
      <c r="A25" s="5" t="s">
        <v>9</v>
      </c>
      <c r="B25" s="3">
        <v>199321.77</v>
      </c>
      <c r="C25" s="3"/>
      <c r="D25" s="3">
        <v>150809.53</v>
      </c>
      <c r="E25" s="3"/>
      <c r="F25" s="3">
        <v>37539.75</v>
      </c>
      <c r="G25" s="3"/>
      <c r="H25" s="3">
        <v>0</v>
      </c>
      <c r="I25" s="3"/>
      <c r="J25" s="3">
        <v>1895</v>
      </c>
      <c r="K25" s="3"/>
      <c r="L25" s="3">
        <v>14442.6</v>
      </c>
      <c r="N25" s="3">
        <v>0</v>
      </c>
      <c r="O25" s="14">
        <f>SUM(F26/(SUM(B26:J26)))</f>
        <v>2.7961659766333937E-2</v>
      </c>
      <c r="P25" s="1" t="s">
        <v>18</v>
      </c>
      <c r="Q25">
        <v>79.39</v>
      </c>
      <c r="R25" s="3">
        <f t="shared" si="0"/>
        <v>2.2198761688492512</v>
      </c>
    </row>
    <row r="26" spans="1:20" x14ac:dyDescent="0.2">
      <c r="A26" s="1" t="s">
        <v>10</v>
      </c>
      <c r="B26" s="3">
        <f>SUM(B23+B24-B25)</f>
        <v>707624.66999999993</v>
      </c>
      <c r="C26" s="3"/>
      <c r="D26" s="3">
        <f>SUM(D23+D24-D25)</f>
        <v>358485.89</v>
      </c>
      <c r="E26" s="3"/>
      <c r="F26" s="3">
        <f>SUM(F23+F24-F25)</f>
        <v>44086.59</v>
      </c>
      <c r="G26" s="3"/>
      <c r="H26" s="3">
        <f>SUM(H23+H24-H25)</f>
        <v>160244.79</v>
      </c>
      <c r="I26" s="3"/>
      <c r="J26" s="3">
        <f>SUM(J23+J24-J25)</f>
        <v>306238.07</v>
      </c>
      <c r="K26" s="3"/>
      <c r="L26" s="3">
        <f>SUM(L23+L24-L25)</f>
        <v>22630.43</v>
      </c>
      <c r="N26" s="3">
        <f>SUM(N23+N24-N25)</f>
        <v>-456.73</v>
      </c>
      <c r="O26" s="14">
        <f>SUM(H26/(SUM(B26:J26)))</f>
        <v>0.10163431323011445</v>
      </c>
      <c r="P26" s="1" t="s">
        <v>19</v>
      </c>
      <c r="Q26">
        <v>79.39</v>
      </c>
      <c r="R26" s="3">
        <f t="shared" si="0"/>
        <v>8.068748127338786</v>
      </c>
    </row>
    <row r="27" spans="1:20" x14ac:dyDescent="0.2">
      <c r="A27" s="4">
        <v>41609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0.19422969027177553</v>
      </c>
      <c r="P27" s="1" t="s">
        <v>20</v>
      </c>
      <c r="Q27">
        <v>79.39</v>
      </c>
      <c r="R27" s="3">
        <f t="shared" si="0"/>
        <v>15.41989511067626</v>
      </c>
      <c r="S27">
        <v>151.22999999999999</v>
      </c>
      <c r="T27" s="3">
        <f>SUM(S27*0.03)</f>
        <v>4.5368999999999993</v>
      </c>
    </row>
    <row r="28" spans="1:20" x14ac:dyDescent="0.2">
      <c r="A28" s="1" t="s">
        <v>7</v>
      </c>
      <c r="B28" s="3">
        <v>707624.67</v>
      </c>
      <c r="C28" s="3"/>
      <c r="D28" s="3">
        <v>358485.89</v>
      </c>
      <c r="E28" s="3"/>
      <c r="F28" s="3">
        <v>44086.59</v>
      </c>
      <c r="G28" s="3"/>
      <c r="H28" s="3">
        <v>160244.79</v>
      </c>
      <c r="I28" s="3"/>
      <c r="J28" s="3">
        <v>306238.07</v>
      </c>
      <c r="K28" s="3"/>
      <c r="L28" s="3">
        <v>22630.43</v>
      </c>
      <c r="N28" s="3">
        <v>-456.73</v>
      </c>
      <c r="O28" s="14">
        <f>SUM(B31/(SUM(B31:J31)))</f>
        <v>0.37085912591336706</v>
      </c>
      <c r="P28" s="1" t="s">
        <v>16</v>
      </c>
      <c r="Q28">
        <v>120.66</v>
      </c>
      <c r="R28" s="3">
        <f t="shared" si="0"/>
        <v>44.747862132706871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46357.599999999999</v>
      </c>
      <c r="C29" s="3"/>
      <c r="D29" s="3">
        <v>40819.68</v>
      </c>
      <c r="E29" s="3"/>
      <c r="F29" s="3">
        <v>19199.169999999998</v>
      </c>
      <c r="G29" s="3"/>
      <c r="H29" s="3">
        <v>4081.95</v>
      </c>
      <c r="I29" s="3"/>
      <c r="J29" s="3">
        <v>6961.78</v>
      </c>
      <c r="K29" s="3"/>
      <c r="L29" s="3">
        <v>15174.75</v>
      </c>
      <c r="N29" s="3">
        <v>0</v>
      </c>
      <c r="O29" s="14">
        <f>SUM(D31/(SUM(B31:J31)))</f>
        <v>0.27744347490511245</v>
      </c>
      <c r="P29" s="1" t="s">
        <v>17</v>
      </c>
      <c r="Q29">
        <v>120.66</v>
      </c>
      <c r="R29" s="3">
        <f t="shared" si="0"/>
        <v>33.476329682050867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222360.46</v>
      </c>
      <c r="C30" s="3"/>
      <c r="D30" s="3">
        <v>1593.9</v>
      </c>
      <c r="E30" s="3"/>
      <c r="F30" s="3">
        <v>36658.629999999997</v>
      </c>
      <c r="G30" s="3"/>
      <c r="H30" s="3">
        <v>0</v>
      </c>
      <c r="I30" s="3"/>
      <c r="J30" s="3">
        <v>0</v>
      </c>
      <c r="K30" s="3"/>
      <c r="L30" s="3">
        <v>11925.77</v>
      </c>
      <c r="N30" s="3">
        <v>0</v>
      </c>
      <c r="O30" s="14">
        <f>SUM(F31/(SUM(B31:J31)))</f>
        <v>1.8575073429326745E-2</v>
      </c>
      <c r="P30" s="1" t="s">
        <v>18</v>
      </c>
      <c r="Q30">
        <v>120.66</v>
      </c>
      <c r="R30" s="3">
        <f t="shared" si="0"/>
        <v>2.2412683599825649</v>
      </c>
    </row>
    <row r="31" spans="1:20" x14ac:dyDescent="0.2">
      <c r="A31" s="1" t="s">
        <v>10</v>
      </c>
      <c r="B31" s="3">
        <f>SUM(B28+B29-B30)</f>
        <v>531621.81000000006</v>
      </c>
      <c r="C31" s="3"/>
      <c r="D31" s="3">
        <f>SUM(D28+D29-D30)</f>
        <v>397711.67</v>
      </c>
      <c r="E31" s="3"/>
      <c r="F31" s="3">
        <f>SUM(F28+F29-F30)</f>
        <v>26627.129999999997</v>
      </c>
      <c r="G31" s="3"/>
      <c r="H31" s="3">
        <f>SUM(H28+H29-H30)</f>
        <v>164326.74000000002</v>
      </c>
      <c r="I31" s="3"/>
      <c r="J31" s="3">
        <f>SUM(J28+J29-J30)</f>
        <v>313199.85000000003</v>
      </c>
      <c r="K31" s="3"/>
      <c r="L31" s="3">
        <f>SUM(L28+L29-L30)</f>
        <v>25879.41</v>
      </c>
      <c r="N31" s="3">
        <f>SUM(N28+N29-N30)</f>
        <v>-456.73</v>
      </c>
      <c r="O31" s="14">
        <f>SUM(H31/(SUM(B31:J31)))</f>
        <v>0.11463425693651119</v>
      </c>
      <c r="P31" s="1" t="s">
        <v>19</v>
      </c>
      <c r="Q31">
        <v>120.66</v>
      </c>
      <c r="R31" s="3">
        <f t="shared" si="0"/>
        <v>13.831769441959439</v>
      </c>
    </row>
    <row r="32" spans="1:20" x14ac:dyDescent="0.2">
      <c r="A32" s="4">
        <v>41640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0.21848806881568247</v>
      </c>
      <c r="P32" s="1" t="s">
        <v>20</v>
      </c>
      <c r="Q32">
        <v>120.66</v>
      </c>
      <c r="R32" s="3">
        <f t="shared" si="0"/>
        <v>26.362770383300248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531621.81000000006</v>
      </c>
      <c r="C33" s="3"/>
      <c r="D33" s="3">
        <v>397711.67</v>
      </c>
      <c r="E33" s="3"/>
      <c r="F33" s="3">
        <v>26627.13</v>
      </c>
      <c r="G33" s="3"/>
      <c r="H33" s="3">
        <v>164326.74</v>
      </c>
      <c r="I33" s="3"/>
      <c r="J33" s="3">
        <v>313199.84999999998</v>
      </c>
      <c r="K33" s="3"/>
      <c r="L33" s="3">
        <v>25879.41</v>
      </c>
      <c r="N33" s="3">
        <v>-456.73</v>
      </c>
      <c r="O33" s="14">
        <f>SUM(B36/(SUM(B36:J36)))</f>
        <v>0.34304078178160685</v>
      </c>
      <c r="P33" s="1" t="s">
        <v>16</v>
      </c>
      <c r="Q33">
        <v>108.08</v>
      </c>
      <c r="R33" s="3">
        <f t="shared" si="0"/>
        <v>37.075847694956067</v>
      </c>
      <c r="S33">
        <v>347.84</v>
      </c>
      <c r="T33" s="3">
        <f>SUM(S33*0.34)</f>
        <v>118.26560000000001</v>
      </c>
    </row>
    <row r="34" spans="1:20" x14ac:dyDescent="0.2">
      <c r="A34" s="5" t="s">
        <v>8</v>
      </c>
      <c r="B34" s="3">
        <v>163635.85999999999</v>
      </c>
      <c r="C34" s="3"/>
      <c r="D34" s="3">
        <v>47007.95</v>
      </c>
      <c r="E34" s="3"/>
      <c r="F34" s="3">
        <v>7875.6</v>
      </c>
      <c r="G34" s="3"/>
      <c r="H34" s="3">
        <v>1426.29</v>
      </c>
      <c r="I34" s="3"/>
      <c r="J34" s="3">
        <v>2424.6799999999998</v>
      </c>
      <c r="K34" s="3"/>
      <c r="L34" s="3">
        <v>14229.62</v>
      </c>
      <c r="N34" s="3">
        <v>0</v>
      </c>
      <c r="O34" s="14">
        <f>SUM(D36/(SUM(B36:J36)))</f>
        <v>0.31495759381912103</v>
      </c>
      <c r="P34" s="1" t="s">
        <v>17</v>
      </c>
      <c r="Q34">
        <v>108.08</v>
      </c>
      <c r="R34" s="3">
        <f t="shared" si="0"/>
        <v>34.040616739970602</v>
      </c>
      <c r="S34">
        <v>347.84</v>
      </c>
      <c r="T34" s="3">
        <f>SUM(S34*0.63)</f>
        <v>219.13919999999999</v>
      </c>
    </row>
    <row r="35" spans="1:20" x14ac:dyDescent="0.2">
      <c r="A35" s="5" t="s">
        <v>9</v>
      </c>
      <c r="B35" s="3">
        <v>214261.23</v>
      </c>
      <c r="C35" s="3"/>
      <c r="D35" s="3">
        <v>3100.17</v>
      </c>
      <c r="E35" s="3"/>
      <c r="F35" s="3">
        <v>36340.910000000003</v>
      </c>
      <c r="G35" s="3"/>
      <c r="H35" s="3">
        <v>0</v>
      </c>
      <c r="I35" s="3"/>
      <c r="J35" s="3">
        <v>0</v>
      </c>
      <c r="K35" s="3"/>
      <c r="L35" s="3">
        <v>15961.36</v>
      </c>
      <c r="N35" s="3">
        <v>0</v>
      </c>
      <c r="O35" s="14">
        <f>SUM(F36/(SUM(B36:J36)))</f>
        <v>-1.3109675078994641E-3</v>
      </c>
      <c r="P35" s="1" t="s">
        <v>18</v>
      </c>
      <c r="Q35">
        <v>108.08</v>
      </c>
      <c r="R35" s="3">
        <f t="shared" si="0"/>
        <v>-0.1416893682537741</v>
      </c>
    </row>
    <row r="36" spans="1:20" x14ac:dyDescent="0.2">
      <c r="A36" s="1" t="s">
        <v>10</v>
      </c>
      <c r="B36" s="3">
        <f>SUM(B33+B34-B35)</f>
        <v>480996.44000000006</v>
      </c>
      <c r="C36" s="3"/>
      <c r="D36" s="3">
        <f>SUM(D33+D34-D35)</f>
        <v>441619.45</v>
      </c>
      <c r="E36" s="3"/>
      <c r="F36" s="3">
        <f>SUM(F33+F34-F35)</f>
        <v>-1838.1800000000003</v>
      </c>
      <c r="G36" s="3"/>
      <c r="H36" s="3">
        <f>SUM(H33+H34-H35)</f>
        <v>165753.03</v>
      </c>
      <c r="I36" s="3"/>
      <c r="J36" s="3">
        <f>SUM(J33+J34-J35)</f>
        <v>315624.52999999997</v>
      </c>
      <c r="K36" s="3"/>
      <c r="L36" s="3">
        <f>SUM(L33+L34-L35)</f>
        <v>24147.67</v>
      </c>
      <c r="N36" s="3">
        <f>SUM(N33+N34-N35)</f>
        <v>-456.73</v>
      </c>
      <c r="O36" s="14">
        <f>SUM(H36/(SUM(B36:J36)))</f>
        <v>0.11821303499433411</v>
      </c>
      <c r="P36" s="1" t="s">
        <v>19</v>
      </c>
      <c r="Q36">
        <v>108.08</v>
      </c>
      <c r="R36" s="3">
        <f t="shared" si="0"/>
        <v>12.776464822187631</v>
      </c>
    </row>
    <row r="37" spans="1:20" x14ac:dyDescent="0.2">
      <c r="A37" s="4">
        <v>41671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14">
        <f>SUM(J36/(SUM(B36:J36)))</f>
        <v>0.22509955691283745</v>
      </c>
      <c r="P37" s="1" t="s">
        <v>20</v>
      </c>
      <c r="Q37">
        <v>108.08</v>
      </c>
      <c r="R37" s="3">
        <f t="shared" si="0"/>
        <v>24.32876011113947</v>
      </c>
      <c r="S37">
        <v>347.84</v>
      </c>
      <c r="T37" s="3">
        <f>SUM(S37*0.03)</f>
        <v>10.435199999999998</v>
      </c>
    </row>
    <row r="38" spans="1:20" x14ac:dyDescent="0.2">
      <c r="A38" s="1" t="s">
        <v>7</v>
      </c>
      <c r="B38" s="3">
        <v>480996.44</v>
      </c>
      <c r="C38" s="3"/>
      <c r="D38" s="3">
        <v>441619.45</v>
      </c>
      <c r="E38" s="3"/>
      <c r="F38" s="3">
        <v>-1838.18</v>
      </c>
      <c r="G38" s="3"/>
      <c r="H38" s="3">
        <v>165753.03</v>
      </c>
      <c r="I38" s="3"/>
      <c r="J38" s="3">
        <v>315624.53000000003</v>
      </c>
      <c r="K38" s="3"/>
      <c r="L38" s="3">
        <v>24147.67</v>
      </c>
      <c r="N38" s="3">
        <v>-456.73</v>
      </c>
      <c r="O38" s="14">
        <f>SUM(B41/(SUM(B41:J41)))</f>
        <v>0.30472360669354726</v>
      </c>
      <c r="P38" s="1" t="s">
        <v>16</v>
      </c>
      <c r="Q38">
        <v>95.91</v>
      </c>
      <c r="R38" s="3">
        <f t="shared" si="0"/>
        <v>29.226041117978117</v>
      </c>
      <c r="S38">
        <v>50.41</v>
      </c>
      <c r="T38" s="3">
        <f>SUM(S38*0.34)</f>
        <v>17.139399999999998</v>
      </c>
    </row>
    <row r="39" spans="1:20" x14ac:dyDescent="0.2">
      <c r="A39" s="5" t="s">
        <v>8</v>
      </c>
      <c r="B39" s="3">
        <v>152536.34</v>
      </c>
      <c r="C39" s="3"/>
      <c r="D39" s="3">
        <v>39974.69</v>
      </c>
      <c r="E39" s="3"/>
      <c r="F39" s="3">
        <v>18772.45</v>
      </c>
      <c r="G39" s="3"/>
      <c r="H39" s="3">
        <v>3002.87</v>
      </c>
      <c r="I39" s="3"/>
      <c r="J39" s="3">
        <v>32.99</v>
      </c>
      <c r="K39" s="3"/>
      <c r="L39" s="3">
        <v>14969.54</v>
      </c>
      <c r="N39" s="3">
        <v>0</v>
      </c>
      <c r="O39" s="14">
        <f>SUM(D41/(SUM(B41:J41)))</f>
        <v>0.35254736024002498</v>
      </c>
      <c r="P39" s="1" t="s">
        <v>17</v>
      </c>
      <c r="Q39">
        <v>95.91</v>
      </c>
      <c r="R39" s="3">
        <f t="shared" si="0"/>
        <v>33.812817320620795</v>
      </c>
      <c r="S39">
        <v>50.41</v>
      </c>
      <c r="T39" s="3">
        <f>SUM(S39*0.63)</f>
        <v>31.758299999999998</v>
      </c>
    </row>
    <row r="40" spans="1:20" x14ac:dyDescent="0.2">
      <c r="A40" s="5" t="s">
        <v>9</v>
      </c>
      <c r="B40" s="3">
        <v>221158.77</v>
      </c>
      <c r="C40" s="3"/>
      <c r="D40" s="3">
        <v>4501.57</v>
      </c>
      <c r="E40" s="3"/>
      <c r="F40" s="3">
        <v>37541.99</v>
      </c>
      <c r="G40" s="3"/>
      <c r="H40" s="3">
        <v>0</v>
      </c>
      <c r="I40" s="3"/>
      <c r="J40" s="3">
        <v>0</v>
      </c>
      <c r="K40" s="3"/>
      <c r="L40" s="3">
        <v>11790.9</v>
      </c>
      <c r="N40" s="3">
        <v>0</v>
      </c>
      <c r="O40" s="14">
        <f>SUM(F41/(SUM(B41:J41)))</f>
        <v>-1.5228066298675676E-2</v>
      </c>
      <c r="P40" s="1" t="s">
        <v>18</v>
      </c>
      <c r="Q40">
        <v>95.91</v>
      </c>
      <c r="R40" s="3">
        <f t="shared" si="0"/>
        <v>-1.460523838705984</v>
      </c>
    </row>
    <row r="41" spans="1:20" x14ac:dyDescent="0.2">
      <c r="A41" s="1" t="s">
        <v>10</v>
      </c>
      <c r="B41" s="3">
        <f>SUM(B38+B39-B40)</f>
        <v>412374.01</v>
      </c>
      <c r="C41" s="3"/>
      <c r="D41" s="3">
        <f>SUM(D38+D39-D40)</f>
        <v>477092.57</v>
      </c>
      <c r="E41" s="3"/>
      <c r="F41" s="3">
        <f>SUM(F38+F39-F40)</f>
        <v>-20607.719999999998</v>
      </c>
      <c r="G41" s="3"/>
      <c r="H41" s="3">
        <f>SUM(H38+H39-H40)</f>
        <v>168755.9</v>
      </c>
      <c r="I41" s="3"/>
      <c r="J41" s="3">
        <f>SUM(J38+J39-J40)</f>
        <v>315657.52</v>
      </c>
      <c r="K41" s="3"/>
      <c r="L41" s="3">
        <f>SUM(L38+L39-L40)</f>
        <v>27326.309999999998</v>
      </c>
      <c r="N41" s="3">
        <f>SUM(N38+N39-N40)</f>
        <v>-456.73</v>
      </c>
      <c r="O41" s="14">
        <f>SUM(H41/(SUM(B41:J41)))</f>
        <v>0.12470210355598207</v>
      </c>
      <c r="P41" s="1" t="s">
        <v>19</v>
      </c>
      <c r="Q41">
        <v>95.91</v>
      </c>
      <c r="R41" s="3">
        <f t="shared" si="0"/>
        <v>11.96017875205424</v>
      </c>
    </row>
    <row r="42" spans="1:20" x14ac:dyDescent="0.2">
      <c r="A42" s="4">
        <v>41699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O42" s="14">
        <f>SUM(J41/(SUM(B41:J41)))</f>
        <v>0.23325499580912126</v>
      </c>
      <c r="P42" s="1" t="s">
        <v>20</v>
      </c>
      <c r="Q42">
        <v>95.91</v>
      </c>
      <c r="R42" s="3">
        <f t="shared" si="0"/>
        <v>22.371486648052819</v>
      </c>
      <c r="S42">
        <v>50.41</v>
      </c>
      <c r="T42" s="3">
        <f>SUM(S42*0.03)</f>
        <v>1.5122999999999998</v>
      </c>
    </row>
    <row r="43" spans="1:20" x14ac:dyDescent="0.2">
      <c r="A43" s="1" t="s">
        <v>7</v>
      </c>
      <c r="B43" s="3">
        <v>412374.01</v>
      </c>
      <c r="C43" s="3"/>
      <c r="D43" s="3">
        <v>477092.57</v>
      </c>
      <c r="E43" s="3"/>
      <c r="F43" s="3">
        <v>-20607.72</v>
      </c>
      <c r="G43" s="3"/>
      <c r="H43" s="3">
        <v>168755.9</v>
      </c>
      <c r="I43" s="3"/>
      <c r="J43" s="3">
        <v>315657.52</v>
      </c>
      <c r="K43" s="3"/>
      <c r="L43" s="3">
        <v>27326.31</v>
      </c>
      <c r="N43" s="3">
        <v>-456.73</v>
      </c>
      <c r="O43" s="14">
        <f>SUM(B46/(SUM(B46:J46)))</f>
        <v>0.2660864773487493</v>
      </c>
      <c r="P43" s="1" t="s">
        <v>16</v>
      </c>
      <c r="Q43">
        <v>98.58</v>
      </c>
      <c r="R43" s="3">
        <f t="shared" si="0"/>
        <v>26.230804937039704</v>
      </c>
      <c r="S43">
        <v>39.67</v>
      </c>
      <c r="T43" s="3">
        <f>SUM(S43*0.34)</f>
        <v>13.487800000000002</v>
      </c>
    </row>
    <row r="44" spans="1:20" x14ac:dyDescent="0.2">
      <c r="A44" s="5" t="s">
        <v>8</v>
      </c>
      <c r="B44" s="3">
        <v>106491.42</v>
      </c>
      <c r="C44" s="3"/>
      <c r="D44" s="3">
        <v>4774.3999999999996</v>
      </c>
      <c r="E44" s="3"/>
      <c r="F44" s="3">
        <v>4090.74</v>
      </c>
      <c r="G44" s="3"/>
      <c r="H44" s="3">
        <v>477.44</v>
      </c>
      <c r="I44" s="3"/>
      <c r="J44" s="3">
        <v>89.38</v>
      </c>
      <c r="K44" s="3"/>
      <c r="L44" s="3">
        <v>16944.25</v>
      </c>
      <c r="N44" s="3">
        <v>0</v>
      </c>
      <c r="O44" s="14">
        <f>SUM(D46/(SUM(B46:J46)))</f>
        <v>0.38253014626587206</v>
      </c>
      <c r="P44" s="1" t="s">
        <v>17</v>
      </c>
      <c r="Q44">
        <v>98.58</v>
      </c>
      <c r="R44" s="3">
        <f t="shared" si="0"/>
        <v>37.709821818889665</v>
      </c>
      <c r="S44">
        <v>39.67</v>
      </c>
      <c r="T44" s="3">
        <f>SUM(S44*0.63)</f>
        <v>24.992100000000001</v>
      </c>
    </row>
    <row r="45" spans="1:20" x14ac:dyDescent="0.2">
      <c r="A45" s="5" t="s">
        <v>9</v>
      </c>
      <c r="B45" s="3">
        <v>193727.94</v>
      </c>
      <c r="C45" s="3"/>
      <c r="D45" s="3">
        <v>14444.15</v>
      </c>
      <c r="E45" s="3"/>
      <c r="F45" s="3">
        <v>39099.43</v>
      </c>
      <c r="G45" s="3"/>
      <c r="H45" s="3">
        <v>0</v>
      </c>
      <c r="I45" s="3"/>
      <c r="J45" s="3">
        <v>0</v>
      </c>
      <c r="K45" s="3"/>
      <c r="L45" s="3">
        <v>15108.25</v>
      </c>
      <c r="N45" s="3">
        <v>0</v>
      </c>
      <c r="O45" s="14">
        <f>SUM(F46/(SUM(B46:J46)))</f>
        <v>-4.5515436007344937E-2</v>
      </c>
      <c r="P45" s="1" t="s">
        <v>18</v>
      </c>
      <c r="Q45">
        <v>98.58</v>
      </c>
      <c r="R45" s="3">
        <f t="shared" si="0"/>
        <v>-4.486911681604064</v>
      </c>
    </row>
    <row r="46" spans="1:20" x14ac:dyDescent="0.2">
      <c r="A46" s="1" t="s">
        <v>10</v>
      </c>
      <c r="B46" s="3">
        <f>SUM(B43+B44-B45)</f>
        <v>325137.49</v>
      </c>
      <c r="C46" s="3"/>
      <c r="D46" s="3">
        <f>SUM(D43+D44-D45)</f>
        <v>467422.82</v>
      </c>
      <c r="E46" s="3"/>
      <c r="F46" s="3">
        <f>SUM(F43+F44-F45)</f>
        <v>-55616.41</v>
      </c>
      <c r="G46" s="3"/>
      <c r="H46" s="3">
        <f>SUM(H43+H44-H45)</f>
        <v>169233.34</v>
      </c>
      <c r="I46" s="3"/>
      <c r="J46" s="3">
        <f>SUM(J43+J44-J45)</f>
        <v>315746.90000000002</v>
      </c>
      <c r="K46" s="3"/>
      <c r="L46" s="3">
        <f>SUM(L43+L44-L45)</f>
        <v>29162.309999999998</v>
      </c>
      <c r="N46" s="3">
        <f>SUM(N43+N44-N45)</f>
        <v>-456.73</v>
      </c>
      <c r="O46" s="14">
        <f>SUM(H46/(SUM(B46:J46)))</f>
        <v>0.13849741932424706</v>
      </c>
      <c r="P46" s="1" t="s">
        <v>19</v>
      </c>
      <c r="Q46">
        <v>98.58</v>
      </c>
      <c r="R46" s="3">
        <f t="shared" si="0"/>
        <v>13.653075596984275</v>
      </c>
    </row>
    <row r="47" spans="1:20" x14ac:dyDescent="0.2">
      <c r="A47" s="4">
        <v>41730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O47" s="14">
        <f>SUM(J46/(SUM(B46:J46)))</f>
        <v>0.25840139306847643</v>
      </c>
      <c r="P47" s="1" t="s">
        <v>20</v>
      </c>
      <c r="Q47">
        <v>98.58</v>
      </c>
      <c r="R47" s="3">
        <f t="shared" si="0"/>
        <v>25.473209328690405</v>
      </c>
      <c r="S47">
        <v>39.67</v>
      </c>
      <c r="T47" s="3">
        <f>SUM(S47*0.03)</f>
        <v>1.1900999999999999</v>
      </c>
    </row>
    <row r="48" spans="1:20" x14ac:dyDescent="0.2">
      <c r="A48" s="1" t="s">
        <v>7</v>
      </c>
      <c r="B48" s="3">
        <v>325137.49</v>
      </c>
      <c r="C48" s="3"/>
      <c r="D48" s="3">
        <v>467422.82</v>
      </c>
      <c r="E48" s="3"/>
      <c r="F48" s="3">
        <v>-55616.41</v>
      </c>
      <c r="G48" s="3"/>
      <c r="H48" s="3">
        <v>169233.34</v>
      </c>
      <c r="I48" s="3"/>
      <c r="J48" s="3">
        <v>315746.90000000002</v>
      </c>
      <c r="K48" s="3"/>
      <c r="L48" s="3">
        <v>29162.31</v>
      </c>
      <c r="N48" s="3">
        <v>-456.73</v>
      </c>
      <c r="O48" s="14">
        <f>SUM(B51/(SUM(B51:J51)))</f>
        <v>0.31102095997139401</v>
      </c>
      <c r="P48" s="1" t="s">
        <v>16</v>
      </c>
      <c r="Q48">
        <v>84.17</v>
      </c>
      <c r="R48" s="3">
        <f t="shared" si="0"/>
        <v>26.178634200792235</v>
      </c>
      <c r="S48">
        <v>26.18</v>
      </c>
      <c r="T48" s="3">
        <f>SUM(S48*0.34)</f>
        <v>8.9012000000000011</v>
      </c>
    </row>
    <row r="49" spans="1:20" x14ac:dyDescent="0.2">
      <c r="A49" s="5" t="s">
        <v>8</v>
      </c>
      <c r="B49" s="3">
        <v>162873.69</v>
      </c>
      <c r="C49" s="3"/>
      <c r="D49" s="3">
        <v>21902.58</v>
      </c>
      <c r="E49" s="3"/>
      <c r="F49" s="3">
        <v>11440.47</v>
      </c>
      <c r="G49" s="3"/>
      <c r="H49" s="3">
        <v>2190.2600000000002</v>
      </c>
      <c r="I49" s="3"/>
      <c r="J49" s="3">
        <v>0</v>
      </c>
      <c r="K49" s="3"/>
      <c r="L49" s="3">
        <v>20055.560000000001</v>
      </c>
      <c r="N49" s="3">
        <v>3190</v>
      </c>
      <c r="O49" s="14">
        <f>SUM(D51/(SUM(B51:J51)))</f>
        <v>0.51841433255259051</v>
      </c>
      <c r="P49" s="1" t="s">
        <v>17</v>
      </c>
      <c r="Q49">
        <v>84.17</v>
      </c>
      <c r="R49" s="3">
        <f t="shared" si="0"/>
        <v>43.634934370951541</v>
      </c>
      <c r="S49">
        <v>26.18</v>
      </c>
      <c r="T49" s="3">
        <f>SUM(S49*0.63)</f>
        <v>16.493400000000001</v>
      </c>
    </row>
    <row r="50" spans="1:20" x14ac:dyDescent="0.2">
      <c r="A50" s="5" t="s">
        <v>9</v>
      </c>
      <c r="B50" s="3">
        <v>195912.39</v>
      </c>
      <c r="C50" s="3"/>
      <c r="D50" s="3">
        <v>2450.8200000000002</v>
      </c>
      <c r="E50" s="3"/>
      <c r="F50" s="3">
        <v>36469.29</v>
      </c>
      <c r="G50" s="3"/>
      <c r="H50" s="3">
        <v>0</v>
      </c>
      <c r="I50" s="3"/>
      <c r="J50" s="3">
        <v>246337.53</v>
      </c>
      <c r="K50" s="3"/>
      <c r="L50" s="3">
        <v>17396.12</v>
      </c>
      <c r="N50" s="3">
        <v>0</v>
      </c>
      <c r="O50" s="14">
        <f>SUM(F51/(SUM(B51:J51)))</f>
        <v>-8.5869430858354023E-2</v>
      </c>
      <c r="P50" s="1" t="s">
        <v>18</v>
      </c>
      <c r="Q50">
        <v>84.17</v>
      </c>
      <c r="R50" s="3">
        <f t="shared" si="0"/>
        <v>-7.2276299953476579</v>
      </c>
    </row>
    <row r="51" spans="1:20" x14ac:dyDescent="0.2">
      <c r="A51" s="1" t="s">
        <v>10</v>
      </c>
      <c r="B51" s="3">
        <f>SUM(B48+B49-B50)</f>
        <v>292098.78999999998</v>
      </c>
      <c r="C51" s="3"/>
      <c r="D51" s="3">
        <f>SUM(D48+D49-D50)</f>
        <v>486874.58</v>
      </c>
      <c r="E51" s="3"/>
      <c r="F51" s="3">
        <f>SUM(F48+F49-F50)</f>
        <v>-80645.23000000001</v>
      </c>
      <c r="G51" s="3"/>
      <c r="H51" s="3">
        <f>SUM(H48+H49-H50)</f>
        <v>171423.6</v>
      </c>
      <c r="I51" s="3"/>
      <c r="J51" s="3">
        <f>SUM(J48+J49-J50)</f>
        <v>69409.370000000024</v>
      </c>
      <c r="K51" s="3"/>
      <c r="L51" s="3">
        <f>SUM(L48+L49-L50)</f>
        <v>31821.750000000004</v>
      </c>
      <c r="N51" s="3">
        <f>SUM(N48+N49-N50)</f>
        <v>2733.27</v>
      </c>
      <c r="O51" s="14">
        <f>SUM(H51/(SUM(B51:J51)))</f>
        <v>0.18252842688513796</v>
      </c>
      <c r="P51" s="1" t="s">
        <v>19</v>
      </c>
      <c r="Q51">
        <v>84.17</v>
      </c>
      <c r="R51" s="3">
        <f t="shared" si="0"/>
        <v>15.363417690922063</v>
      </c>
    </row>
    <row r="52" spans="1:20" x14ac:dyDescent="0.2">
      <c r="A52" s="4">
        <v>41760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O52" s="14">
        <f>SUM(J51/(SUM(B51:J51)))</f>
        <v>7.3905711449231568E-2</v>
      </c>
      <c r="P52" s="1" t="s">
        <v>20</v>
      </c>
      <c r="Q52">
        <v>84.17</v>
      </c>
      <c r="R52" s="3">
        <f t="shared" si="0"/>
        <v>6.2206437326818209</v>
      </c>
      <c r="S52">
        <v>26.18</v>
      </c>
      <c r="T52" s="3">
        <f>SUM(S52*0.03)</f>
        <v>0.78539999999999999</v>
      </c>
    </row>
    <row r="53" spans="1:20" x14ac:dyDescent="0.2">
      <c r="A53" s="1" t="s">
        <v>7</v>
      </c>
      <c r="B53" s="3">
        <v>292098.78999999998</v>
      </c>
      <c r="C53" s="3"/>
      <c r="D53" s="3">
        <v>486874.58</v>
      </c>
      <c r="E53" s="3"/>
      <c r="F53" s="3">
        <v>-80645.23</v>
      </c>
      <c r="G53" s="3"/>
      <c r="H53" s="3">
        <v>171423.6</v>
      </c>
      <c r="I53" s="3"/>
      <c r="J53" s="3">
        <v>69409.37</v>
      </c>
      <c r="K53" s="3"/>
      <c r="L53" s="3">
        <v>31821.75</v>
      </c>
      <c r="N53" s="3">
        <v>2733.27</v>
      </c>
      <c r="O53" s="14">
        <f>SUM(B56/(SUM(B56:J56)))</f>
        <v>0.28532556805185749</v>
      </c>
      <c r="P53" s="1" t="s">
        <v>16</v>
      </c>
      <c r="Q53">
        <v>108.17</v>
      </c>
      <c r="R53" s="3">
        <f t="shared" si="0"/>
        <v>30.863666696169425</v>
      </c>
      <c r="S53">
        <v>111.58</v>
      </c>
      <c r="T53" s="3">
        <f>SUM(S53*0.34)</f>
        <v>37.937200000000004</v>
      </c>
    </row>
    <row r="54" spans="1:20" x14ac:dyDescent="0.2">
      <c r="A54" s="5" t="s">
        <v>8</v>
      </c>
      <c r="B54" s="3">
        <v>414240.28</v>
      </c>
      <c r="C54" s="3"/>
      <c r="D54" s="3">
        <v>241115.15</v>
      </c>
      <c r="E54" s="3"/>
      <c r="F54" s="3">
        <v>171597.85</v>
      </c>
      <c r="G54" s="3"/>
      <c r="H54" s="3">
        <v>24111.51</v>
      </c>
      <c r="I54" s="3"/>
      <c r="J54" s="3">
        <v>53.57</v>
      </c>
      <c r="K54" s="3"/>
      <c r="L54" s="3">
        <v>16614.580000000002</v>
      </c>
      <c r="N54" s="3">
        <v>1730</v>
      </c>
      <c r="O54" s="14">
        <f>SUM(D56/(SUM(B56:J56)))</f>
        <v>0.38756231106596883</v>
      </c>
      <c r="P54" s="1" t="s">
        <v>17</v>
      </c>
      <c r="Q54">
        <v>108.17</v>
      </c>
      <c r="R54" s="3">
        <f t="shared" si="0"/>
        <v>41.92261518800585</v>
      </c>
      <c r="S54">
        <v>111.58</v>
      </c>
      <c r="T54" s="3">
        <f>SUM(S54*0.63)</f>
        <v>70.295400000000001</v>
      </c>
    </row>
    <row r="55" spans="1:20" x14ac:dyDescent="0.2">
      <c r="A55" s="5" t="s">
        <v>9</v>
      </c>
      <c r="B55" s="3">
        <v>211434.06</v>
      </c>
      <c r="C55" s="3"/>
      <c r="D55" s="3">
        <v>55752.29</v>
      </c>
      <c r="E55" s="3"/>
      <c r="F55" s="3">
        <v>34903.269999999997</v>
      </c>
      <c r="G55" s="3"/>
      <c r="H55" s="3">
        <v>0</v>
      </c>
      <c r="I55" s="3"/>
      <c r="J55" s="3">
        <v>-246337.53</v>
      </c>
      <c r="K55" s="3"/>
      <c r="L55" s="3">
        <v>11300.06</v>
      </c>
      <c r="N55" s="3">
        <v>0</v>
      </c>
      <c r="O55" s="14">
        <f>SUM(F56/(SUM(B56:J56)))</f>
        <v>3.2313903283556128E-2</v>
      </c>
      <c r="P55" s="1" t="s">
        <v>18</v>
      </c>
      <c r="Q55">
        <v>108.17</v>
      </c>
      <c r="R55" s="3">
        <f t="shared" si="0"/>
        <v>3.4953949181822663</v>
      </c>
    </row>
    <row r="56" spans="1:20" x14ac:dyDescent="0.2">
      <c r="A56" s="1" t="s">
        <v>10</v>
      </c>
      <c r="B56" s="3">
        <f>SUM(B53+B54-B55)</f>
        <v>494905.01000000007</v>
      </c>
      <c r="C56" s="3"/>
      <c r="D56" s="3">
        <f>SUM(D53+D54-D55)</f>
        <v>672237.44</v>
      </c>
      <c r="E56" s="3"/>
      <c r="F56" s="3">
        <f>SUM(F53+F54-F55)</f>
        <v>56049.350000000013</v>
      </c>
      <c r="G56" s="3"/>
      <c r="H56" s="3">
        <f>SUM(H53+H54-H55)</f>
        <v>195535.11000000002</v>
      </c>
      <c r="I56" s="3"/>
      <c r="J56" s="3">
        <f>SUM(J53+J54-J55)</f>
        <v>315800.46999999997</v>
      </c>
      <c r="K56" s="3"/>
      <c r="L56" s="3">
        <f>SUM(L53+L54-L55)</f>
        <v>37136.270000000004</v>
      </c>
      <c r="N56" s="3">
        <f>SUM(N53+N54-N55)</f>
        <v>4463.2700000000004</v>
      </c>
      <c r="O56" s="14">
        <f>SUM(H56/(SUM(B56:J56)))</f>
        <v>0.11273105991558346</v>
      </c>
      <c r="P56" s="1" t="s">
        <v>19</v>
      </c>
      <c r="Q56">
        <v>108.17</v>
      </c>
      <c r="R56" s="3">
        <f t="shared" si="0"/>
        <v>12.194118751068663</v>
      </c>
    </row>
    <row r="57" spans="1:20" x14ac:dyDescent="0.2">
      <c r="A57" s="4">
        <v>41791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O57" s="14">
        <f>SUM(J56/(SUM(B56:J56)))</f>
        <v>0.18206715768303405</v>
      </c>
      <c r="P57" s="1" t="s">
        <v>20</v>
      </c>
      <c r="Q57">
        <v>108.17</v>
      </c>
      <c r="R57" s="3">
        <f t="shared" si="0"/>
        <v>19.694204446573792</v>
      </c>
      <c r="S57">
        <v>111.58</v>
      </c>
      <c r="T57" s="3">
        <f>SUM(S57*0.03)</f>
        <v>3.3473999999999999</v>
      </c>
    </row>
    <row r="58" spans="1:20" x14ac:dyDescent="0.2">
      <c r="A58" s="1" t="s">
        <v>7</v>
      </c>
      <c r="B58" s="3">
        <v>494905.01</v>
      </c>
      <c r="C58" s="3"/>
      <c r="D58" s="3">
        <v>672237.44</v>
      </c>
      <c r="E58" s="3"/>
      <c r="F58" s="3">
        <v>56049.35</v>
      </c>
      <c r="G58" s="3"/>
      <c r="H58" s="3">
        <v>195535.11</v>
      </c>
      <c r="I58" s="3"/>
      <c r="J58" s="3">
        <v>315800.46999999997</v>
      </c>
      <c r="K58" s="3"/>
      <c r="L58" s="3">
        <v>37136.269999999997</v>
      </c>
      <c r="N58" s="3">
        <v>4463.2700000000004</v>
      </c>
      <c r="O58" s="14">
        <f>SUM(B61/(SUM(B61:J61)))</f>
        <v>0.15812722616817121</v>
      </c>
      <c r="P58" s="1" t="s">
        <v>16</v>
      </c>
      <c r="Q58">
        <v>188.59</v>
      </c>
      <c r="R58" s="3">
        <f t="shared" si="0"/>
        <v>29.82121358305541</v>
      </c>
      <c r="T58" s="3">
        <f>SUM(S58*0.34)</f>
        <v>0</v>
      </c>
    </row>
    <row r="59" spans="1:20" x14ac:dyDescent="0.2">
      <c r="A59" s="5" t="s">
        <v>8</v>
      </c>
      <c r="B59" s="3">
        <v>285505.65000000002</v>
      </c>
      <c r="C59" s="3"/>
      <c r="D59" s="3">
        <v>1111510.1100000001</v>
      </c>
      <c r="E59" s="3"/>
      <c r="F59" s="3">
        <v>55865.13</v>
      </c>
      <c r="G59" s="3"/>
      <c r="H59" s="3">
        <v>7784.01</v>
      </c>
      <c r="I59" s="3"/>
      <c r="J59" s="3">
        <v>0</v>
      </c>
      <c r="K59" s="3"/>
      <c r="L59" s="3">
        <v>6706.87</v>
      </c>
      <c r="N59" s="3">
        <v>0</v>
      </c>
      <c r="O59" s="14">
        <f>SUM(D61/(SUM(B61:J61)))</f>
        <v>0.64747104711695913</v>
      </c>
      <c r="P59" s="1" t="s">
        <v>17</v>
      </c>
      <c r="Q59">
        <v>188.59</v>
      </c>
      <c r="R59" s="3">
        <f t="shared" si="0"/>
        <v>122.10656477578732</v>
      </c>
      <c r="T59" s="3">
        <f>SUM(S59*0.63)</f>
        <v>0</v>
      </c>
    </row>
    <row r="60" spans="1:20" x14ac:dyDescent="0.2">
      <c r="A60" s="5" t="s">
        <v>9</v>
      </c>
      <c r="B60" s="3">
        <v>391220.47999999998</v>
      </c>
      <c r="C60" s="3"/>
      <c r="D60" s="3">
        <v>190161.3</v>
      </c>
      <c r="E60" s="3"/>
      <c r="F60" s="3">
        <v>83552.800000000003</v>
      </c>
      <c r="G60" s="3"/>
      <c r="H60" s="3">
        <v>69010.58</v>
      </c>
      <c r="I60" s="3"/>
      <c r="J60" s="3">
        <v>0</v>
      </c>
      <c r="K60" s="3"/>
      <c r="L60" s="3">
        <v>24405.39</v>
      </c>
      <c r="N60" s="3">
        <v>3955.01</v>
      </c>
      <c r="O60" s="14">
        <f>SUM(F61/(SUM(B61:J61)))</f>
        <v>1.1523296368549938E-2</v>
      </c>
      <c r="P60" s="1" t="s">
        <v>18</v>
      </c>
      <c r="Q60">
        <v>188.59</v>
      </c>
      <c r="R60" s="3">
        <f t="shared" si="0"/>
        <v>2.1731784621448327</v>
      </c>
    </row>
    <row r="61" spans="1:20" x14ac:dyDescent="0.2">
      <c r="A61" s="1" t="s">
        <v>10</v>
      </c>
      <c r="B61" s="3">
        <f>SUM(B58+B59-B60)</f>
        <v>389190.18000000005</v>
      </c>
      <c r="C61" s="3"/>
      <c r="D61" s="3">
        <f>SUM(D58+D59-D60)</f>
        <v>1593586.25</v>
      </c>
      <c r="E61" s="3"/>
      <c r="F61" s="3">
        <f>SUM(F58+F59-F60)</f>
        <v>28361.679999999993</v>
      </c>
      <c r="G61" s="3"/>
      <c r="H61" s="3">
        <f>SUM(H58+H59-H60)</f>
        <v>134308.53999999998</v>
      </c>
      <c r="I61" s="3"/>
      <c r="J61" s="3">
        <f>SUM(J58+J59-J60)</f>
        <v>315800.46999999997</v>
      </c>
      <c r="K61" s="3"/>
      <c r="L61" s="3">
        <f>SUM(L58+L59-L60)</f>
        <v>19437.75</v>
      </c>
      <c r="N61" s="3">
        <f>SUM(N58+N59-N60)</f>
        <v>508.26000000000022</v>
      </c>
      <c r="O61" s="14">
        <f>SUM(H61/(SUM(B61:J61)))</f>
        <v>5.4569303061287065E-2</v>
      </c>
      <c r="P61" s="1" t="s">
        <v>19</v>
      </c>
      <c r="Q61">
        <v>188.59</v>
      </c>
      <c r="R61" s="3">
        <f t="shared" si="0"/>
        <v>10.291224864328127</v>
      </c>
    </row>
    <row r="62" spans="1:20" x14ac:dyDescent="0.2">
      <c r="A62" s="5" t="s">
        <v>26</v>
      </c>
      <c r="B62" s="3">
        <v>236311.61</v>
      </c>
      <c r="C62" s="3"/>
      <c r="D62" s="3"/>
      <c r="E62" s="3"/>
      <c r="F62" s="3">
        <v>52726.69</v>
      </c>
      <c r="G62" s="3"/>
      <c r="H62" s="3"/>
      <c r="I62" s="3"/>
      <c r="J62" s="3"/>
      <c r="K62" s="3"/>
      <c r="L62" s="3">
        <v>14075.4</v>
      </c>
      <c r="N62" s="3">
        <v>3955.01</v>
      </c>
      <c r="O62" s="14">
        <f>SUM(J61/(SUM(B61:J61)))</f>
        <v>0.12830912728503263</v>
      </c>
      <c r="P62" s="1" t="s">
        <v>20</v>
      </c>
      <c r="Q62">
        <v>188.59</v>
      </c>
      <c r="R62" s="3">
        <f t="shared" si="0"/>
        <v>24.197818314684305</v>
      </c>
      <c r="T62" s="3">
        <f>SUM(S62*0.03)</f>
        <v>0</v>
      </c>
    </row>
    <row r="63" spans="1:20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14"/>
    </row>
    <row r="64" spans="1:20" x14ac:dyDescent="0.2">
      <c r="A64" s="5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1" t="s">
        <v>15</v>
      </c>
      <c r="B65" s="3">
        <f>SUM(B61:B64)</f>
        <v>625501.79</v>
      </c>
      <c r="C65" s="3"/>
      <c r="D65" s="3">
        <f>SUM(D61:D64)</f>
        <v>1593586.25</v>
      </c>
      <c r="E65" s="3"/>
      <c r="F65" s="3">
        <f>SUM(F61:F64)</f>
        <v>81088.37</v>
      </c>
      <c r="G65" s="3"/>
      <c r="H65" s="3">
        <f>SUM(H61:H64)</f>
        <v>134308.53999999998</v>
      </c>
      <c r="I65" s="3"/>
      <c r="J65" s="3">
        <f>SUM(J61:J64)</f>
        <v>315800.46999999997</v>
      </c>
      <c r="K65" s="3"/>
      <c r="L65" s="3">
        <f>SUM(L61:L64)</f>
        <v>33513.15</v>
      </c>
      <c r="N65" s="3">
        <f>SUM(N61:N64)</f>
        <v>4463.2700000000004</v>
      </c>
      <c r="O65" s="14"/>
      <c r="P65" s="1" t="s">
        <v>16</v>
      </c>
      <c r="R65" s="2">
        <f>SUM(R3,R8,R13,R18,R23,R28,R33,R38,R43,R48,R53,R58)</f>
        <v>394.66390501374957</v>
      </c>
      <c r="T65" s="2">
        <f>SUM(T3,T8,T13,T18,T23,T28,T33,T38,T43,T48,T53,T58)</f>
        <v>406.84060000000005</v>
      </c>
      <c r="U65" s="2">
        <f>SUM(R65+T65+(R67*0.4))</f>
        <v>796.80243663300166</v>
      </c>
    </row>
    <row r="66" spans="1:21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  <c r="P66" s="1" t="s">
        <v>17</v>
      </c>
      <c r="R66" s="2">
        <f>SUM(R4,R9,R14,R19,R24,R29,R34,R39,R44,R49,R54,R59)</f>
        <v>438.72538578722322</v>
      </c>
      <c r="T66" s="2">
        <f>SUM(T4,T9,T14,T19,T24,T29,T34,T39,T44,T49,T54,T59)</f>
        <v>753.85169999999994</v>
      </c>
      <c r="U66" s="2">
        <f>SUM(R66+T66+(R67*0.35))</f>
        <v>1188.4627759540685</v>
      </c>
    </row>
    <row r="67" spans="1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  <c r="P67" s="1" t="s">
        <v>18</v>
      </c>
      <c r="R67" s="2">
        <f>SUM(R5,R10,R15,R20,R25,R30,R35,R40,R45,R50,R55,R60)</f>
        <v>-11.755170951869896</v>
      </c>
      <c r="T67" s="1"/>
    </row>
    <row r="68" spans="1:21" x14ac:dyDescent="0.2">
      <c r="B68" s="3">
        <f>SUM(B1,B6,B11,B16,B21,B26,B31,B37,B42,B47,B52,B57)</f>
        <v>2777652.8400000003</v>
      </c>
      <c r="C68" s="3"/>
      <c r="D68" s="3">
        <f>SUM(D1,D6,D11,D16,D21,D26,D31,D37,D42,D47,D52,D57)</f>
        <v>1610636.68</v>
      </c>
      <c r="E68" s="3"/>
      <c r="F68" s="3">
        <f>SUM(F1,F6,F11,F16,F21,F26,F31,F37,F42,F47,F52,F57)</f>
        <v>-36546.810000000019</v>
      </c>
      <c r="G68" s="3"/>
      <c r="H68" s="3">
        <f>SUM(H1,H6,H11,H16,H21,H26,H31,H37,H42,H47,H52,H57)</f>
        <v>867898.19000000006</v>
      </c>
      <c r="I68" s="3"/>
      <c r="J68" s="3">
        <f>SUM(J1,J6,J11,J16,J21,J26,J31,J37,J42,J47,J52,J57)</f>
        <v>1611170.61</v>
      </c>
      <c r="K68" s="3"/>
      <c r="L68" s="3">
        <f>SUM(L1,L6,L11,L16,L21,L26,L31,L37,L42,L47,L52,L57)</f>
        <v>130375.08000000002</v>
      </c>
      <c r="N68" s="3">
        <f>SUM(N1,N6,N11,N16,N21,N26,N31,N37,N42,N47,N52,N57)</f>
        <v>-1444.8000000000002</v>
      </c>
      <c r="O68" s="14"/>
      <c r="P68" s="1" t="s">
        <v>19</v>
      </c>
      <c r="R68" s="2">
        <f>SUM(R6,R11,R16,R21,R26,R31,R36,R41,R46,R51,R56,R61)</f>
        <v>144.92360403932685</v>
      </c>
      <c r="T68" s="1"/>
      <c r="U68" s="2">
        <f>SUM(R68+(R67*0.125))</f>
        <v>143.45420767034312</v>
      </c>
    </row>
    <row r="69" spans="1:21" x14ac:dyDescent="0.2">
      <c r="B69" s="15">
        <f>SUM(B65/B68)</f>
        <v>0.22519077294050899</v>
      </c>
      <c r="C69" s="3"/>
      <c r="D69" s="15">
        <f>SUM(D65/D68)</f>
        <v>0.98941385713381369</v>
      </c>
      <c r="E69" s="3"/>
      <c r="F69" s="15">
        <f>SUM(F65/F68)</f>
        <v>-2.2187537024435224</v>
      </c>
      <c r="G69" s="3"/>
      <c r="H69" s="15">
        <f>SUM(H65/H68)</f>
        <v>0.15475149222283777</v>
      </c>
      <c r="I69" s="3"/>
      <c r="J69" s="15">
        <f>SUM(J65/J68)</f>
        <v>0.19600684622716644</v>
      </c>
      <c r="K69" s="3"/>
      <c r="L69" s="15">
        <f>SUM(L65/L68)</f>
        <v>0.25705180775344488</v>
      </c>
      <c r="N69" s="15">
        <f>SUM(N65/N68)</f>
        <v>-3.0891957364341085</v>
      </c>
      <c r="O69" s="14"/>
      <c r="P69" s="1" t="s">
        <v>20</v>
      </c>
      <c r="R69" s="2">
        <f>SUM(R7,R12,R17,R22,R27,R32,R37,R42,R47,R52,R57,R62)</f>
        <v>249.26227611157029</v>
      </c>
      <c r="T69" s="2">
        <f>SUM(T7,T12,T17,T22,T27,T32,T37,T42,T47,T52,T57,T62)</f>
        <v>35.8977</v>
      </c>
      <c r="U69" s="2">
        <f>SUM(R69+T69+(R67*0.125))</f>
        <v>283.69057974258658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7" zoomScaleNormal="100" workbookViewId="0">
      <selection activeCell="N73" activeCellId="6" sqref="B73 D73 F73 H73 J73 L73 N73"/>
    </sheetView>
  </sheetViews>
  <sheetFormatPr defaultRowHeight="12.75" x14ac:dyDescent="0.2"/>
  <cols>
    <col min="1" max="1" width="23.140625" customWidth="1"/>
    <col min="2" max="2" width="15.140625" customWidth="1"/>
    <col min="3" max="3" width="2.42578125" customWidth="1"/>
    <col min="4" max="4" width="11.140625" customWidth="1"/>
    <col min="5" max="5" width="3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41091</v>
      </c>
      <c r="O2" s="14"/>
    </row>
    <row r="3" spans="1:20" x14ac:dyDescent="0.2">
      <c r="A3" s="1" t="s">
        <v>7</v>
      </c>
      <c r="B3" s="3">
        <v>771711.81</v>
      </c>
      <c r="C3" s="3"/>
      <c r="D3" s="3">
        <v>309932.63</v>
      </c>
      <c r="E3" s="3"/>
      <c r="F3" s="3">
        <v>48651.81</v>
      </c>
      <c r="G3" s="3"/>
      <c r="H3" s="3">
        <v>156029.81</v>
      </c>
      <c r="I3" s="3"/>
      <c r="J3" s="3">
        <v>263887.57</v>
      </c>
      <c r="K3" s="3"/>
      <c r="L3" s="3">
        <v>40659.980000000003</v>
      </c>
      <c r="N3" s="3">
        <v>3810.06</v>
      </c>
      <c r="O3" s="14">
        <f>SUM(B6/(SUM(B6:J6)))</f>
        <v>0.65777755935496596</v>
      </c>
      <c r="P3" s="1" t="s">
        <v>16</v>
      </c>
      <c r="Q3">
        <v>149.82</v>
      </c>
      <c r="R3" s="3">
        <f>SUM(O3*Q3)</f>
        <v>98.548233942560998</v>
      </c>
      <c r="S3">
        <v>487.41</v>
      </c>
      <c r="T3" s="3">
        <f>SUM(S3*0.34)</f>
        <v>165.71940000000001</v>
      </c>
    </row>
    <row r="4" spans="1:20" x14ac:dyDescent="0.2">
      <c r="A4" s="5" t="s">
        <v>8</v>
      </c>
      <c r="B4" s="3">
        <v>33471.26</v>
      </c>
      <c r="C4" s="3"/>
      <c r="D4" s="3">
        <v>2285.04</v>
      </c>
      <c r="E4" s="3"/>
      <c r="F4" s="3">
        <v>840.75</v>
      </c>
      <c r="G4" s="3"/>
      <c r="H4" s="3">
        <v>178.5</v>
      </c>
      <c r="I4" s="3"/>
      <c r="J4" s="3">
        <v>359.99</v>
      </c>
      <c r="K4" s="3"/>
      <c r="L4" s="3">
        <v>0</v>
      </c>
      <c r="N4" s="3">
        <v>300</v>
      </c>
      <c r="O4" s="14">
        <f>SUM(D6/(SUM(B6:J6)))</f>
        <v>-3.1313790585801818E-2</v>
      </c>
      <c r="P4" s="1" t="s">
        <v>17</v>
      </c>
      <c r="Q4">
        <v>149.82</v>
      </c>
      <c r="R4" s="3">
        <f t="shared" ref="R4:R63" si="0">SUM(O4*Q4)</f>
        <v>-4.6914321055648278</v>
      </c>
      <c r="S4">
        <v>487.41</v>
      </c>
      <c r="T4" s="3">
        <f>SUM(S4*0.63)</f>
        <v>307.06830000000002</v>
      </c>
    </row>
    <row r="5" spans="1:20" x14ac:dyDescent="0.2">
      <c r="A5" s="5" t="s">
        <v>9</v>
      </c>
      <c r="B5" s="3">
        <v>199539.48</v>
      </c>
      <c r="C5" s="3"/>
      <c r="D5" s="3">
        <v>341049.59999999998</v>
      </c>
      <c r="E5" s="3"/>
      <c r="F5" s="3">
        <v>42007.839999999997</v>
      </c>
      <c r="G5" s="3"/>
      <c r="H5" s="3">
        <v>5000</v>
      </c>
      <c r="I5" s="3"/>
      <c r="J5" s="3">
        <v>79010</v>
      </c>
      <c r="K5" s="3"/>
      <c r="L5" s="3">
        <v>6521.77</v>
      </c>
      <c r="N5" s="3">
        <v>2487.13</v>
      </c>
      <c r="O5" s="14">
        <f>SUM(F6/(SUM(B6:J6)))</f>
        <v>8.1290067877302242E-3</v>
      </c>
      <c r="P5" s="1" t="s">
        <v>18</v>
      </c>
      <c r="Q5">
        <v>149.82</v>
      </c>
      <c r="R5" s="3">
        <f t="shared" si="0"/>
        <v>1.2178877969377422</v>
      </c>
    </row>
    <row r="6" spans="1:20" x14ac:dyDescent="0.2">
      <c r="A6" s="1" t="s">
        <v>10</v>
      </c>
      <c r="B6" s="3">
        <f>SUM(B3+B4-B5)</f>
        <v>605643.59000000008</v>
      </c>
      <c r="C6" s="3"/>
      <c r="D6" s="3">
        <f>SUM(D3+D4-D5)</f>
        <v>-28831.929999999993</v>
      </c>
      <c r="E6" s="3"/>
      <c r="F6" s="3">
        <f>SUM(F3+F4-F5)</f>
        <v>7484.7200000000012</v>
      </c>
      <c r="G6" s="3"/>
      <c r="H6" s="3">
        <f>SUM(H3+H4-H5)</f>
        <v>151208.31</v>
      </c>
      <c r="I6" s="3"/>
      <c r="J6" s="3">
        <f>SUM(J3+J4-J5)</f>
        <v>185237.56</v>
      </c>
      <c r="K6" s="3"/>
      <c r="L6" s="3">
        <f>SUM(L3+L4-L5)</f>
        <v>34138.210000000006</v>
      </c>
      <c r="N6" s="3">
        <f>SUM(N3+N4-N5)</f>
        <v>1622.9299999999994</v>
      </c>
      <c r="O6" s="14">
        <f>SUM(H6/(SUM(B6:J6)))</f>
        <v>0.16422436355016831</v>
      </c>
      <c r="P6" s="1" t="s">
        <v>19</v>
      </c>
      <c r="Q6">
        <v>149.82</v>
      </c>
      <c r="R6" s="3">
        <f t="shared" si="0"/>
        <v>24.604094147086215</v>
      </c>
    </row>
    <row r="7" spans="1:20" x14ac:dyDescent="0.2">
      <c r="A7" s="4">
        <v>41122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0.20118286089293713</v>
      </c>
      <c r="P7" s="1" t="s">
        <v>20</v>
      </c>
      <c r="Q7">
        <v>149.82</v>
      </c>
      <c r="R7" s="3">
        <f t="shared" si="0"/>
        <v>30.141216218979839</v>
      </c>
      <c r="S7">
        <v>487.41</v>
      </c>
      <c r="T7" s="3">
        <f>SUM(S7*0.03)</f>
        <v>14.622300000000001</v>
      </c>
    </row>
    <row r="8" spans="1:20" x14ac:dyDescent="0.2">
      <c r="A8" s="1" t="s">
        <v>7</v>
      </c>
      <c r="B8" s="3">
        <v>605643.59</v>
      </c>
      <c r="C8" s="3"/>
      <c r="D8" s="3">
        <v>-28831.93</v>
      </c>
      <c r="E8" s="3"/>
      <c r="F8" s="3">
        <v>7484.72</v>
      </c>
      <c r="G8" s="3"/>
      <c r="H8" s="3">
        <v>151208.31</v>
      </c>
      <c r="I8" s="3"/>
      <c r="J8" s="3">
        <v>185237.56</v>
      </c>
      <c r="K8" s="3"/>
      <c r="L8" s="3">
        <v>34138.21</v>
      </c>
      <c r="N8" s="3">
        <v>1622.93</v>
      </c>
      <c r="O8" s="14">
        <f>SUM(B11/(SUM(B11:J11)))</f>
        <v>0.69525435711266992</v>
      </c>
      <c r="P8" s="1" t="s">
        <v>16</v>
      </c>
      <c r="Q8">
        <v>88.73</v>
      </c>
      <c r="R8" s="3">
        <f t="shared" si="0"/>
        <v>61.689919106607206</v>
      </c>
      <c r="S8">
        <v>64.819999999999993</v>
      </c>
      <c r="T8" s="3">
        <f>SUM(S8*0.34)</f>
        <v>22.038799999999998</v>
      </c>
    </row>
    <row r="9" spans="1:20" x14ac:dyDescent="0.2">
      <c r="A9" s="5" t="s">
        <v>8</v>
      </c>
      <c r="B9" s="3">
        <v>82882.37</v>
      </c>
      <c r="C9" s="3"/>
      <c r="D9" s="3">
        <v>20774.650000000001</v>
      </c>
      <c r="E9" s="3"/>
      <c r="F9" s="3">
        <v>691.04</v>
      </c>
      <c r="G9" s="3"/>
      <c r="H9" s="3">
        <v>146.71</v>
      </c>
      <c r="I9" s="3"/>
      <c r="J9" s="3">
        <v>412.18</v>
      </c>
      <c r="K9" s="3"/>
      <c r="L9" s="3">
        <v>-3190.74</v>
      </c>
      <c r="N9" s="3">
        <v>0</v>
      </c>
      <c r="O9" s="14">
        <f>SUM(D11/(SUM(B11:J11)))</f>
        <v>-0.11824149025290379</v>
      </c>
      <c r="P9" s="1" t="s">
        <v>17</v>
      </c>
      <c r="Q9">
        <v>88.73</v>
      </c>
      <c r="R9" s="3">
        <f t="shared" si="0"/>
        <v>-10.491567430140153</v>
      </c>
      <c r="S9">
        <v>64.819999999999993</v>
      </c>
      <c r="T9" s="3">
        <f>SUM(S9*0.63)</f>
        <v>40.836599999999997</v>
      </c>
    </row>
    <row r="10" spans="1:20" x14ac:dyDescent="0.2">
      <c r="A10" s="5" t="s">
        <v>9</v>
      </c>
      <c r="B10" s="3">
        <v>180502.76</v>
      </c>
      <c r="C10" s="3"/>
      <c r="D10" s="3">
        <v>78341.919999999998</v>
      </c>
      <c r="E10" s="3"/>
      <c r="F10" s="3">
        <v>36103.31</v>
      </c>
      <c r="G10" s="3"/>
      <c r="H10" s="3">
        <v>0</v>
      </c>
      <c r="I10" s="3"/>
      <c r="J10" s="3">
        <v>0</v>
      </c>
      <c r="K10" s="3"/>
      <c r="L10" s="3">
        <v>3383.03</v>
      </c>
      <c r="N10" s="3">
        <v>1841.1</v>
      </c>
      <c r="O10" s="14">
        <f>SUM(F11/(SUM(B11:J11)))</f>
        <v>-3.8220204945329156E-2</v>
      </c>
      <c r="P10" s="1" t="s">
        <v>18</v>
      </c>
      <c r="Q10">
        <v>88.73</v>
      </c>
      <c r="R10" s="3">
        <f t="shared" si="0"/>
        <v>-3.3912787847990562</v>
      </c>
    </row>
    <row r="11" spans="1:20" x14ac:dyDescent="0.2">
      <c r="A11" s="1" t="s">
        <v>10</v>
      </c>
      <c r="B11" s="3">
        <f>SUM(B8+B9-B10)</f>
        <v>508023.19999999995</v>
      </c>
      <c r="C11" s="3"/>
      <c r="D11" s="3">
        <f>SUM(D8+D9-D10)</f>
        <v>-86399.2</v>
      </c>
      <c r="E11" s="3"/>
      <c r="F11" s="3">
        <f>SUM(F8+F9-F10)</f>
        <v>-27927.549999999996</v>
      </c>
      <c r="G11" s="3"/>
      <c r="H11" s="3">
        <f>SUM(H8+H9-H10)</f>
        <v>151355.01999999999</v>
      </c>
      <c r="I11" s="3"/>
      <c r="J11" s="3">
        <f>SUM(J8+J9-J10)</f>
        <v>185649.74</v>
      </c>
      <c r="K11" s="3"/>
      <c r="L11" s="3">
        <f>SUM(L8+L9-L10)</f>
        <v>27564.440000000002</v>
      </c>
      <c r="N11" s="3">
        <f>SUM(N8+N9-N10)</f>
        <v>-218.16999999999985</v>
      </c>
      <c r="O11" s="14">
        <f>SUM(H11/(SUM(B11:J11)))</f>
        <v>0.20713667628934129</v>
      </c>
      <c r="P11" s="1" t="s">
        <v>19</v>
      </c>
      <c r="Q11">
        <v>88.73</v>
      </c>
      <c r="R11" s="3">
        <f t="shared" si="0"/>
        <v>18.379237287153252</v>
      </c>
    </row>
    <row r="12" spans="1:20" x14ac:dyDescent="0.2">
      <c r="A12" s="4">
        <v>41153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0.25407066179622173</v>
      </c>
      <c r="P12" s="1" t="s">
        <v>20</v>
      </c>
      <c r="Q12">
        <v>88.73</v>
      </c>
      <c r="R12" s="3">
        <f t="shared" si="0"/>
        <v>22.543689821178756</v>
      </c>
      <c r="S12">
        <v>64.819999999999993</v>
      </c>
      <c r="T12" s="3">
        <f>SUM(S12*0.03)</f>
        <v>1.9445999999999997</v>
      </c>
    </row>
    <row r="13" spans="1:20" x14ac:dyDescent="0.2">
      <c r="A13" s="1" t="s">
        <v>7</v>
      </c>
      <c r="B13" s="3">
        <v>508023.2</v>
      </c>
      <c r="C13" s="3"/>
      <c r="D13" s="3">
        <v>-86399.2</v>
      </c>
      <c r="E13" s="3"/>
      <c r="F13" s="3">
        <v>-27927.55</v>
      </c>
      <c r="G13" s="3"/>
      <c r="H13" s="3">
        <v>151355.01999999999</v>
      </c>
      <c r="I13" s="3"/>
      <c r="J13" s="3">
        <v>185649.74</v>
      </c>
      <c r="K13" s="3"/>
      <c r="L13" s="3">
        <v>27564.44</v>
      </c>
      <c r="N13" s="3">
        <v>-218.17</v>
      </c>
      <c r="O13" s="14">
        <f>SUM(B16/(SUM(B16:J16)))</f>
        <v>0.70090935997449211</v>
      </c>
      <c r="P13" s="1" t="s">
        <v>16</v>
      </c>
      <c r="Q13">
        <v>46.71</v>
      </c>
      <c r="R13" s="3">
        <f t="shared" si="0"/>
        <v>32.739476204408525</v>
      </c>
      <c r="S13">
        <v>65.53</v>
      </c>
      <c r="T13" s="3">
        <f>SUM(S13*0.34)</f>
        <v>22.280200000000001</v>
      </c>
    </row>
    <row r="14" spans="1:20" x14ac:dyDescent="0.2">
      <c r="A14" s="5" t="s">
        <v>8</v>
      </c>
      <c r="B14" s="3">
        <v>89274.92</v>
      </c>
      <c r="C14" s="3"/>
      <c r="D14" s="3">
        <v>711.23</v>
      </c>
      <c r="E14" s="3"/>
      <c r="F14" s="3">
        <v>1028.42</v>
      </c>
      <c r="G14" s="3"/>
      <c r="H14" s="3">
        <v>73.92</v>
      </c>
      <c r="I14" s="3"/>
      <c r="J14" s="3">
        <v>176.76</v>
      </c>
      <c r="K14" s="3"/>
      <c r="L14" s="3">
        <v>10261.84</v>
      </c>
      <c r="N14" s="3">
        <v>0</v>
      </c>
      <c r="O14" s="14">
        <f>SUM(D16/(SUM(B16:J16)))</f>
        <v>-0.15646965420899867</v>
      </c>
      <c r="P14" s="1" t="s">
        <v>17</v>
      </c>
      <c r="Q14">
        <v>46.71</v>
      </c>
      <c r="R14" s="3">
        <f t="shared" si="0"/>
        <v>-7.3086975481023275</v>
      </c>
      <c r="S14">
        <v>65.53</v>
      </c>
      <c r="T14" s="3">
        <f>SUM(S14*0.63)</f>
        <v>41.283900000000003</v>
      </c>
    </row>
    <row r="15" spans="1:20" x14ac:dyDescent="0.2">
      <c r="A15" s="5" t="s">
        <v>9</v>
      </c>
      <c r="B15" s="3">
        <v>180004.38</v>
      </c>
      <c r="C15" s="3"/>
      <c r="D15" s="3">
        <v>7467.88</v>
      </c>
      <c r="E15" s="3"/>
      <c r="F15" s="3">
        <v>39133.71</v>
      </c>
      <c r="G15" s="3"/>
      <c r="H15" s="3">
        <v>0</v>
      </c>
      <c r="I15" s="3"/>
      <c r="J15" s="3">
        <v>0</v>
      </c>
      <c r="K15" s="3"/>
      <c r="L15" s="3">
        <v>17943.34</v>
      </c>
      <c r="N15" s="3">
        <v>0</v>
      </c>
      <c r="O15" s="14">
        <f>SUM(F16/(SUM(B16:J16)))</f>
        <v>-0.11091236504457996</v>
      </c>
      <c r="P15" s="1" t="s">
        <v>18</v>
      </c>
      <c r="Q15">
        <v>46.71</v>
      </c>
      <c r="R15" s="3">
        <f t="shared" si="0"/>
        <v>-5.1807165712323302</v>
      </c>
    </row>
    <row r="16" spans="1:20" x14ac:dyDescent="0.2">
      <c r="A16" s="1" t="s">
        <v>10</v>
      </c>
      <c r="B16" s="3">
        <f>SUM(B13+B14-B15)</f>
        <v>417293.74</v>
      </c>
      <c r="C16" s="3"/>
      <c r="D16" s="3">
        <f>SUM(D13+D14-D15)</f>
        <v>-93155.85</v>
      </c>
      <c r="E16" s="3"/>
      <c r="F16" s="3">
        <f>SUM(F13+F14-F15)</f>
        <v>-66032.84</v>
      </c>
      <c r="G16" s="3"/>
      <c r="H16" s="3">
        <f>SUM(H13+H14-H15)</f>
        <v>151428.94</v>
      </c>
      <c r="I16" s="3"/>
      <c r="J16" s="3">
        <f>SUM(J13+J14-J15)</f>
        <v>185826.5</v>
      </c>
      <c r="K16" s="3"/>
      <c r="L16" s="3">
        <f>SUM(L13+L14-L15)</f>
        <v>19882.939999999999</v>
      </c>
      <c r="N16" s="3">
        <f>SUM(N13+N14-N15)</f>
        <v>-218.17</v>
      </c>
      <c r="O16" s="14">
        <f>SUM(H16/(SUM(B16:J16)))</f>
        <v>0.25434831928467405</v>
      </c>
      <c r="P16" s="1" t="s">
        <v>19</v>
      </c>
      <c r="Q16">
        <v>46.71</v>
      </c>
      <c r="R16" s="3">
        <f t="shared" si="0"/>
        <v>11.880609993787125</v>
      </c>
    </row>
    <row r="17" spans="1:20" x14ac:dyDescent="0.2">
      <c r="A17" s="4">
        <v>41183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0.31212433999441247</v>
      </c>
      <c r="P17" s="1" t="s">
        <v>20</v>
      </c>
      <c r="Q17">
        <v>46.71</v>
      </c>
      <c r="R17" s="3">
        <f t="shared" si="0"/>
        <v>14.579327921139006</v>
      </c>
      <c r="S17">
        <v>65.53</v>
      </c>
      <c r="T17" s="3">
        <f>SUM(S17*0.03)</f>
        <v>1.9659</v>
      </c>
    </row>
    <row r="18" spans="1:20" x14ac:dyDescent="0.2">
      <c r="A18" s="1" t="s">
        <v>7</v>
      </c>
      <c r="B18" s="3">
        <v>417293.74</v>
      </c>
      <c r="C18" s="3"/>
      <c r="D18" s="3">
        <v>-93155.85</v>
      </c>
      <c r="E18" s="3"/>
      <c r="F18" s="3">
        <v>-66032.84</v>
      </c>
      <c r="G18" s="3"/>
      <c r="H18" s="3">
        <v>151428.94</v>
      </c>
      <c r="I18" s="3"/>
      <c r="J18" s="3">
        <v>185826.5</v>
      </c>
      <c r="K18" s="3"/>
      <c r="L18" s="3">
        <v>19882.939999999999</v>
      </c>
      <c r="N18" s="3">
        <v>-218.17</v>
      </c>
      <c r="O18" s="14">
        <f>SUM(B21/(SUM(B21:J21)))</f>
        <v>0.56099939575542601</v>
      </c>
      <c r="P18" s="1" t="s">
        <v>16</v>
      </c>
      <c r="Q18">
        <v>50.44</v>
      </c>
      <c r="R18" s="3">
        <f t="shared" si="0"/>
        <v>28.296809521903686</v>
      </c>
      <c r="S18">
        <v>206.38</v>
      </c>
      <c r="T18" s="3">
        <f>SUM(S18*0.34)</f>
        <v>70.169200000000004</v>
      </c>
    </row>
    <row r="19" spans="1:20" x14ac:dyDescent="0.2">
      <c r="A19" s="5" t="s">
        <v>8</v>
      </c>
      <c r="B19" s="3">
        <v>49518.84</v>
      </c>
      <c r="C19" s="3"/>
      <c r="D19" s="3">
        <v>26157.82</v>
      </c>
      <c r="E19" s="3"/>
      <c r="F19" s="3">
        <v>11750.43</v>
      </c>
      <c r="G19" s="3"/>
      <c r="H19" s="3">
        <v>2494.8000000000002</v>
      </c>
      <c r="I19" s="3"/>
      <c r="J19" s="3">
        <v>5031.1499999999996</v>
      </c>
      <c r="K19" s="3"/>
      <c r="L19" s="3">
        <v>10552</v>
      </c>
      <c r="N19" s="3">
        <v>0</v>
      </c>
      <c r="O19" s="14">
        <f>SUM(D21/(SUM(B21:J21)))</f>
        <v>-0.17146892738467415</v>
      </c>
      <c r="P19" s="1" t="s">
        <v>17</v>
      </c>
      <c r="Q19">
        <v>50.44</v>
      </c>
      <c r="R19" s="3">
        <f t="shared" si="0"/>
        <v>-8.6488926972829638</v>
      </c>
      <c r="S19">
        <v>206.38</v>
      </c>
      <c r="T19" s="3">
        <f>SUM(S19*0.63)</f>
        <v>130.01939999999999</v>
      </c>
    </row>
    <row r="20" spans="1:20" x14ac:dyDescent="0.2">
      <c r="A20" s="5" t="s">
        <v>9</v>
      </c>
      <c r="B20" s="3">
        <v>239876.19</v>
      </c>
      <c r="C20" s="3"/>
      <c r="D20" s="3">
        <v>2364.86</v>
      </c>
      <c r="E20" s="3"/>
      <c r="F20" s="3">
        <v>43550.85</v>
      </c>
      <c r="G20" s="3"/>
      <c r="H20" s="3">
        <v>0</v>
      </c>
      <c r="I20" s="3"/>
      <c r="J20" s="3">
        <v>0</v>
      </c>
      <c r="K20" s="3"/>
      <c r="L20" s="3">
        <v>16892.560000000001</v>
      </c>
      <c r="N20" s="3">
        <v>0</v>
      </c>
      <c r="O20" s="14">
        <f>SUM(F21/(SUM(B21:J21)))</f>
        <v>-0.24184926773878573</v>
      </c>
      <c r="P20" s="1" t="s">
        <v>18</v>
      </c>
      <c r="Q20">
        <v>50.44</v>
      </c>
      <c r="R20" s="3">
        <f t="shared" si="0"/>
        <v>-12.198877064744352</v>
      </c>
    </row>
    <row r="21" spans="1:20" x14ac:dyDescent="0.2">
      <c r="A21" s="1" t="s">
        <v>10</v>
      </c>
      <c r="B21" s="3">
        <f>SUM(B18+B19-B20)</f>
        <v>226936.38999999996</v>
      </c>
      <c r="C21" s="3"/>
      <c r="D21" s="3">
        <f>SUM(D18+D19-D20)</f>
        <v>-69362.89</v>
      </c>
      <c r="E21" s="3"/>
      <c r="F21" s="3">
        <f>SUM(F18+F19-F20)</f>
        <v>-97833.26</v>
      </c>
      <c r="G21" s="3"/>
      <c r="H21" s="3">
        <f>SUM(H18+H19-H20)</f>
        <v>153923.74</v>
      </c>
      <c r="I21" s="3"/>
      <c r="J21" s="3">
        <f>SUM(J18+J19-J20)</f>
        <v>190857.65</v>
      </c>
      <c r="K21" s="3"/>
      <c r="L21" s="3">
        <f>SUM(L18+L19-L20)</f>
        <v>13542.379999999997</v>
      </c>
      <c r="N21" s="3">
        <f>SUM(N18+N19-N20)</f>
        <v>-218.17</v>
      </c>
      <c r="O21" s="14">
        <f>SUM(H21/(SUM(B21:J21)))</f>
        <v>0.38050805837008034</v>
      </c>
      <c r="P21" s="1" t="s">
        <v>19</v>
      </c>
      <c r="Q21">
        <v>50.44</v>
      </c>
      <c r="R21" s="3">
        <f t="shared" si="0"/>
        <v>19.192826464186851</v>
      </c>
    </row>
    <row r="22" spans="1:20" x14ac:dyDescent="0.2">
      <c r="A22" s="4">
        <v>41214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0.47181074099795367</v>
      </c>
      <c r="P22" s="1" t="s">
        <v>20</v>
      </c>
      <c r="Q22">
        <v>50.44</v>
      </c>
      <c r="R22" s="3">
        <f t="shared" si="0"/>
        <v>23.798133775936783</v>
      </c>
      <c r="S22">
        <v>206.83</v>
      </c>
      <c r="T22" s="3">
        <f>SUM(S22*0.03)</f>
        <v>6.2049000000000003</v>
      </c>
    </row>
    <row r="23" spans="1:20" x14ac:dyDescent="0.2">
      <c r="A23" s="1" t="s">
        <v>7</v>
      </c>
      <c r="B23" s="3">
        <v>226936.39</v>
      </c>
      <c r="C23" s="3"/>
      <c r="D23" s="3">
        <v>-69362.89</v>
      </c>
      <c r="E23" s="3"/>
      <c r="F23" s="3">
        <v>-97833.26</v>
      </c>
      <c r="G23" s="3"/>
      <c r="H23" s="3">
        <v>153923.74</v>
      </c>
      <c r="I23" s="3"/>
      <c r="J23" s="3">
        <v>190857.65</v>
      </c>
      <c r="K23" s="3"/>
      <c r="L23" s="3">
        <v>13542.38</v>
      </c>
      <c r="N23" s="3">
        <v>-218.17</v>
      </c>
      <c r="O23" s="14">
        <f>SUM(B26/(SUM(B26:J26)))</f>
        <v>0.64393213946803862</v>
      </c>
      <c r="P23" s="1" t="s">
        <v>16</v>
      </c>
      <c r="Q23">
        <v>95.66</v>
      </c>
      <c r="R23" s="3">
        <f t="shared" si="0"/>
        <v>61.598548461512571</v>
      </c>
      <c r="S23">
        <v>214.25</v>
      </c>
      <c r="T23" s="3">
        <f>SUM(S23*0.34)</f>
        <v>72.844999999999999</v>
      </c>
    </row>
    <row r="24" spans="1:20" x14ac:dyDescent="0.2">
      <c r="A24" s="5" t="s">
        <v>8</v>
      </c>
      <c r="B24" s="3">
        <v>703881.57</v>
      </c>
      <c r="C24" s="3"/>
      <c r="D24" s="3">
        <v>291278.59000000003</v>
      </c>
      <c r="E24" s="3"/>
      <c r="F24" s="3">
        <v>137192.26</v>
      </c>
      <c r="G24" s="3"/>
      <c r="H24" s="3">
        <v>29127.87</v>
      </c>
      <c r="I24" s="3"/>
      <c r="J24" s="3">
        <v>58741.9</v>
      </c>
      <c r="K24" s="3"/>
      <c r="L24" s="3">
        <v>26994.66</v>
      </c>
      <c r="N24" s="3">
        <v>0</v>
      </c>
      <c r="O24" s="14">
        <f>SUM(D26/(SUM(B26:J26)))</f>
        <v>-3.1450510022599396E-2</v>
      </c>
      <c r="P24" s="1" t="s">
        <v>17</v>
      </c>
      <c r="Q24">
        <v>95.66</v>
      </c>
      <c r="R24" s="3">
        <f t="shared" si="0"/>
        <v>-3.0085557887618579</v>
      </c>
      <c r="S24">
        <v>214.25</v>
      </c>
      <c r="T24" s="3">
        <f>SUM(S24*0.63)</f>
        <v>134.97749999999999</v>
      </c>
    </row>
    <row r="25" spans="1:20" x14ac:dyDescent="0.2">
      <c r="A25" s="5" t="s">
        <v>9</v>
      </c>
      <c r="B25" s="3">
        <v>215424.64000000001</v>
      </c>
      <c r="C25" s="3"/>
      <c r="D25" s="3">
        <v>256856.47</v>
      </c>
      <c r="E25" s="3"/>
      <c r="F25" s="3">
        <v>39271.449999999997</v>
      </c>
      <c r="G25" s="3"/>
      <c r="H25" s="3">
        <v>0</v>
      </c>
      <c r="I25" s="3"/>
      <c r="J25" s="3">
        <v>2215</v>
      </c>
      <c r="K25" s="3"/>
      <c r="L25" s="3">
        <v>12035.28</v>
      </c>
      <c r="N25" s="3">
        <v>0</v>
      </c>
      <c r="O25" s="14">
        <f>SUM(F26/(SUM(B26:J26)))</f>
        <v>7.8804564194753782E-5</v>
      </c>
      <c r="P25" s="1" t="s">
        <v>18</v>
      </c>
      <c r="Q25">
        <v>95.66</v>
      </c>
      <c r="R25" s="3">
        <f t="shared" si="0"/>
        <v>7.5384446108701462E-3</v>
      </c>
    </row>
    <row r="26" spans="1:20" x14ac:dyDescent="0.2">
      <c r="A26" s="1" t="s">
        <v>10</v>
      </c>
      <c r="B26" s="3">
        <f>SUM(B23+B24-B25)</f>
        <v>715393.32</v>
      </c>
      <c r="C26" s="3"/>
      <c r="D26" s="3">
        <f>SUM(D23+D24-D25)</f>
        <v>-34940.76999999999</v>
      </c>
      <c r="E26" s="3"/>
      <c r="F26" s="3">
        <f>SUM(F23+F24-F25)</f>
        <v>87.550000000017462</v>
      </c>
      <c r="G26" s="3"/>
      <c r="H26" s="3">
        <f>SUM(H23+H24-H25)</f>
        <v>183051.61</v>
      </c>
      <c r="I26" s="3"/>
      <c r="J26" s="3">
        <f>SUM(J23+J24-J25)</f>
        <v>247384.55</v>
      </c>
      <c r="K26" s="3"/>
      <c r="L26" s="3">
        <f>SUM(L23+L24-L25)</f>
        <v>28501.760000000002</v>
      </c>
      <c r="N26" s="3">
        <f>SUM(N23+N24-N25)</f>
        <v>-218.17</v>
      </c>
      <c r="O26" s="14">
        <f>SUM(H26/(SUM(B26:J26)))</f>
        <v>0.16476644604449062</v>
      </c>
      <c r="P26" s="1" t="s">
        <v>19</v>
      </c>
      <c r="Q26">
        <v>95.66</v>
      </c>
      <c r="R26" s="3">
        <f t="shared" si="0"/>
        <v>15.761558228615971</v>
      </c>
    </row>
    <row r="27" spans="1:20" x14ac:dyDescent="0.2">
      <c r="A27" s="4">
        <v>41244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0.22267311994587533</v>
      </c>
      <c r="P27" s="1" t="s">
        <v>20</v>
      </c>
      <c r="Q27">
        <v>95.66</v>
      </c>
      <c r="R27" s="3">
        <f t="shared" si="0"/>
        <v>21.300910654022434</v>
      </c>
      <c r="S27">
        <v>214.25</v>
      </c>
      <c r="T27" s="3">
        <f>SUM(S27*0.03)</f>
        <v>6.4274999999999993</v>
      </c>
    </row>
    <row r="28" spans="1:20" x14ac:dyDescent="0.2">
      <c r="A28" s="1" t="s">
        <v>7</v>
      </c>
      <c r="B28" s="3">
        <v>715393.32</v>
      </c>
      <c r="C28" s="3"/>
      <c r="D28" s="3">
        <v>-34940.769999999997</v>
      </c>
      <c r="E28" s="3"/>
      <c r="F28" s="3">
        <v>87.55</v>
      </c>
      <c r="G28" s="3"/>
      <c r="H28" s="3">
        <v>183051.61</v>
      </c>
      <c r="I28" s="3"/>
      <c r="J28" s="3">
        <v>247384.55</v>
      </c>
      <c r="K28" s="3"/>
      <c r="L28" s="3">
        <v>28501.759999999998</v>
      </c>
      <c r="N28" s="3">
        <v>-218.17</v>
      </c>
      <c r="O28" s="14">
        <f>SUM(B31/(SUM(B31:J31)))</f>
        <v>0.58939495318646262</v>
      </c>
      <c r="P28" s="1" t="s">
        <v>16</v>
      </c>
      <c r="Q28">
        <v>99.87</v>
      </c>
      <c r="R28" s="3">
        <f t="shared" si="0"/>
        <v>58.862873974732025</v>
      </c>
      <c r="S28">
        <v>235.67</v>
      </c>
      <c r="T28" s="3">
        <f>SUM(S28*0.34)</f>
        <v>80.127800000000008</v>
      </c>
    </row>
    <row r="29" spans="1:20" x14ac:dyDescent="0.2">
      <c r="A29" s="5" t="s">
        <v>8</v>
      </c>
      <c r="B29" s="3">
        <v>79765.03</v>
      </c>
      <c r="C29" s="3"/>
      <c r="D29" s="3">
        <v>36628.339999999997</v>
      </c>
      <c r="E29" s="3"/>
      <c r="F29" s="3">
        <v>20631.759999999998</v>
      </c>
      <c r="G29" s="3"/>
      <c r="H29" s="3">
        <v>3625.41</v>
      </c>
      <c r="I29" s="3"/>
      <c r="J29" s="3">
        <v>7342.74</v>
      </c>
      <c r="K29" s="3"/>
      <c r="L29" s="3">
        <v>18173.3</v>
      </c>
      <c r="N29" s="3">
        <v>0</v>
      </c>
      <c r="O29" s="14">
        <f>SUM(D31/(SUM(B31:J31)))</f>
        <v>-6.9343444093914516E-4</v>
      </c>
      <c r="P29" s="1" t="s">
        <v>17</v>
      </c>
      <c r="Q29">
        <v>99.87</v>
      </c>
      <c r="R29" s="3">
        <f t="shared" si="0"/>
        <v>-6.9253297616592435E-2</v>
      </c>
      <c r="S29">
        <v>235.68</v>
      </c>
      <c r="T29" s="3">
        <f>SUM(S29*0.63)</f>
        <v>148.47839999999999</v>
      </c>
    </row>
    <row r="30" spans="1:20" x14ac:dyDescent="0.2">
      <c r="A30" s="5" t="s">
        <v>9</v>
      </c>
      <c r="B30" s="3">
        <v>191504.76</v>
      </c>
      <c r="C30" s="3"/>
      <c r="D30" s="3">
        <v>2397.7800000000002</v>
      </c>
      <c r="E30" s="3"/>
      <c r="F30" s="3">
        <v>40875.01</v>
      </c>
      <c r="G30" s="3"/>
      <c r="H30" s="3">
        <v>0</v>
      </c>
      <c r="I30" s="3"/>
      <c r="J30" s="3">
        <v>0</v>
      </c>
      <c r="K30" s="3"/>
      <c r="L30" s="3">
        <v>17299.71</v>
      </c>
      <c r="N30" s="3">
        <v>0</v>
      </c>
      <c r="O30" s="14">
        <f>SUM(F31/(SUM(B31:J31)))</f>
        <v>-1.9679611046362514E-2</v>
      </c>
      <c r="P30" s="1" t="s">
        <v>18</v>
      </c>
      <c r="Q30">
        <v>99.87</v>
      </c>
      <c r="R30" s="3">
        <f t="shared" si="0"/>
        <v>-1.9654027552002244</v>
      </c>
    </row>
    <row r="31" spans="1:20" x14ac:dyDescent="0.2">
      <c r="A31" s="1" t="s">
        <v>10</v>
      </c>
      <c r="B31" s="3">
        <f>SUM(B28+B29-B30)</f>
        <v>603653.59</v>
      </c>
      <c r="C31" s="3"/>
      <c r="D31" s="3">
        <f>SUM(D28+D29-D30)</f>
        <v>-710.21000000000049</v>
      </c>
      <c r="E31" s="3"/>
      <c r="F31" s="3">
        <f>SUM(F28+F29-F30)</f>
        <v>-20155.700000000004</v>
      </c>
      <c r="G31" s="3"/>
      <c r="H31" s="3">
        <f>SUM(H28+H29-H30)</f>
        <v>186677.02</v>
      </c>
      <c r="I31" s="3"/>
      <c r="J31" s="3">
        <f>SUM(J28+J29-J30)</f>
        <v>254727.28999999998</v>
      </c>
      <c r="K31" s="3"/>
      <c r="L31" s="3">
        <f>SUM(L28+L29-L30)</f>
        <v>29375.35</v>
      </c>
      <c r="N31" s="3">
        <f>SUM(N28+N29-N30)</f>
        <v>-218.17</v>
      </c>
      <c r="O31" s="14">
        <f>SUM(H31/(SUM(B31:J31)))</f>
        <v>0.18226760394796682</v>
      </c>
      <c r="P31" s="1" t="s">
        <v>19</v>
      </c>
      <c r="Q31">
        <v>99.87</v>
      </c>
      <c r="R31" s="3">
        <f t="shared" si="0"/>
        <v>18.203065606283445</v>
      </c>
    </row>
    <row r="32" spans="1:20" x14ac:dyDescent="0.2">
      <c r="A32" s="4">
        <v>41275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0.24871048835287218</v>
      </c>
      <c r="P32" s="1" t="s">
        <v>20</v>
      </c>
      <c r="Q32">
        <v>99.87</v>
      </c>
      <c r="R32" s="3">
        <f t="shared" si="0"/>
        <v>24.838716471801344</v>
      </c>
      <c r="S32">
        <v>235.67</v>
      </c>
      <c r="T32" s="3">
        <f>SUM(S32*0.03)</f>
        <v>7.0700999999999992</v>
      </c>
    </row>
    <row r="33" spans="1:20" x14ac:dyDescent="0.2">
      <c r="A33" s="1" t="s">
        <v>7</v>
      </c>
      <c r="B33" s="3">
        <v>603653.59</v>
      </c>
      <c r="C33" s="3"/>
      <c r="D33" s="3">
        <v>-710.21</v>
      </c>
      <c r="E33" s="3"/>
      <c r="F33" s="3">
        <v>-20155.7</v>
      </c>
      <c r="G33" s="3"/>
      <c r="H33" s="3">
        <v>186677.02</v>
      </c>
      <c r="I33" s="3"/>
      <c r="J33" s="3">
        <v>254727.29</v>
      </c>
      <c r="K33" s="3"/>
      <c r="L33" s="3">
        <v>29375.35</v>
      </c>
      <c r="N33" s="3">
        <v>-218.17</v>
      </c>
      <c r="O33" s="14">
        <f>SUM(B37/(SUM(B37:J37)))</f>
        <v>0.54613692513326906</v>
      </c>
      <c r="P33" s="1" t="s">
        <v>16</v>
      </c>
      <c r="Q33">
        <v>72.08</v>
      </c>
      <c r="R33" s="3">
        <f t="shared" si="0"/>
        <v>39.365549563606031</v>
      </c>
      <c r="S33">
        <v>257.10000000000002</v>
      </c>
      <c r="T33" s="3">
        <f>SUM(S33*0.34)</f>
        <v>87.414000000000016</v>
      </c>
    </row>
    <row r="34" spans="1:20" x14ac:dyDescent="0.2">
      <c r="A34" s="5" t="s">
        <v>8</v>
      </c>
      <c r="B34" s="3">
        <v>108465.85</v>
      </c>
      <c r="C34" s="3"/>
      <c r="D34" s="3">
        <v>38241.519999999997</v>
      </c>
      <c r="E34" s="3"/>
      <c r="F34" s="3">
        <v>2006.47</v>
      </c>
      <c r="G34" s="3"/>
      <c r="H34" s="3">
        <v>295.58</v>
      </c>
      <c r="I34" s="3"/>
      <c r="J34" s="3">
        <v>648.5</v>
      </c>
      <c r="K34" s="3"/>
      <c r="L34" s="3">
        <v>13780.93</v>
      </c>
      <c r="N34" s="3">
        <v>0</v>
      </c>
      <c r="O34" s="14">
        <f>SUM(D37/(SUM(B37:J37)))</f>
        <v>3.9166397857654668E-2</v>
      </c>
      <c r="P34" s="1" t="s">
        <v>17</v>
      </c>
      <c r="Q34">
        <v>72.08</v>
      </c>
      <c r="R34" s="3">
        <f t="shared" si="0"/>
        <v>2.8231139575797486</v>
      </c>
      <c r="S34">
        <v>257.10000000000002</v>
      </c>
      <c r="T34" s="3">
        <f>SUM(S34*0.63)</f>
        <v>161.97300000000001</v>
      </c>
    </row>
    <row r="35" spans="1:20" x14ac:dyDescent="0.2">
      <c r="A35" s="5" t="s">
        <v>9</v>
      </c>
      <c r="B35" s="3">
        <v>184864.71</v>
      </c>
      <c r="C35" s="3"/>
      <c r="D35" s="3">
        <v>1392</v>
      </c>
      <c r="E35" s="3"/>
      <c r="F35" s="3">
        <v>37022.54</v>
      </c>
      <c r="G35" s="3"/>
      <c r="H35" s="3">
        <v>4500</v>
      </c>
      <c r="I35" s="3"/>
      <c r="J35" s="3">
        <v>0</v>
      </c>
      <c r="K35" s="3"/>
      <c r="L35" s="3">
        <v>13331.98</v>
      </c>
      <c r="N35" s="3">
        <v>0</v>
      </c>
      <c r="O35" s="14">
        <f>SUM(F37/(SUM(B37:J37)))</f>
        <v>-5.9826612009821659E-2</v>
      </c>
      <c r="P35" s="1" t="s">
        <v>18</v>
      </c>
      <c r="Q35">
        <v>72.08</v>
      </c>
      <c r="R35" s="3">
        <f t="shared" si="0"/>
        <v>-4.3123021936679446</v>
      </c>
    </row>
    <row r="36" spans="1:20" x14ac:dyDescent="0.2">
      <c r="A36" s="5" t="s">
        <v>40</v>
      </c>
      <c r="B36" s="3">
        <v>23327.57</v>
      </c>
      <c r="C36" s="3"/>
      <c r="D36" s="3"/>
      <c r="E36" s="3"/>
      <c r="F36" s="3">
        <v>30.97</v>
      </c>
      <c r="G36" s="3"/>
      <c r="H36" s="3"/>
      <c r="I36" s="3"/>
      <c r="J36" s="3"/>
      <c r="K36" s="3"/>
      <c r="L36" s="3"/>
      <c r="O36" s="14"/>
      <c r="P36" s="1"/>
      <c r="Q36" t="s">
        <v>11</v>
      </c>
      <c r="R36" s="3"/>
    </row>
    <row r="37" spans="1:20" x14ac:dyDescent="0.2">
      <c r="A37" s="1" t="s">
        <v>10</v>
      </c>
      <c r="B37" s="3">
        <f>SUM(B33+B34-B35-B36)</f>
        <v>503927.16</v>
      </c>
      <c r="C37" s="3"/>
      <c r="D37" s="3">
        <f>SUM(D33+D34-D35)</f>
        <v>36139.31</v>
      </c>
      <c r="E37" s="3"/>
      <c r="F37" s="3">
        <f>SUM(F33+F34-F35-F36)</f>
        <v>-55202.740000000005</v>
      </c>
      <c r="G37" s="3"/>
      <c r="H37" s="3">
        <f>SUM(H33+H34-H35)</f>
        <v>182472.59999999998</v>
      </c>
      <c r="I37" s="3"/>
      <c r="J37" s="3">
        <f>SUM(J33+J34-J35)</f>
        <v>255375.79</v>
      </c>
      <c r="K37" s="3"/>
      <c r="L37" s="3">
        <f>SUM(L33+L34-L35)</f>
        <v>29824.3</v>
      </c>
      <c r="N37" s="3">
        <f>SUM(N33+N34-N35)</f>
        <v>-218.17</v>
      </c>
      <c r="O37" s="14">
        <f>SUM(H37/(SUM(B37:J37)))</f>
        <v>0.19775680414818869</v>
      </c>
      <c r="P37" s="1" t="s">
        <v>19</v>
      </c>
      <c r="Q37">
        <v>72.08</v>
      </c>
      <c r="R37" s="3">
        <f t="shared" si="0"/>
        <v>14.25431044300144</v>
      </c>
    </row>
    <row r="38" spans="1:20" x14ac:dyDescent="0.2">
      <c r="A38" s="4">
        <v>41306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14">
        <f>SUM(J37/(SUM(B37:J37)))</f>
        <v>0.27676648487070921</v>
      </c>
      <c r="P38" s="1" t="s">
        <v>20</v>
      </c>
      <c r="Q38">
        <v>72.08</v>
      </c>
      <c r="R38" s="3">
        <f t="shared" si="0"/>
        <v>19.94932822948072</v>
      </c>
      <c r="S38">
        <v>257.10000000000002</v>
      </c>
      <c r="T38" s="3">
        <f>SUM(S38*0.03)</f>
        <v>7.7130000000000001</v>
      </c>
    </row>
    <row r="39" spans="1:20" x14ac:dyDescent="0.2">
      <c r="A39" s="1" t="s">
        <v>7</v>
      </c>
      <c r="B39" s="3">
        <v>503927.16</v>
      </c>
      <c r="C39" s="3"/>
      <c r="D39" s="3">
        <v>36139.31</v>
      </c>
      <c r="E39" s="3"/>
      <c r="F39" s="3">
        <v>-55202.74</v>
      </c>
      <c r="G39" s="3"/>
      <c r="H39" s="3">
        <v>182472.6</v>
      </c>
      <c r="I39" s="3"/>
      <c r="J39" s="3">
        <v>255375.79</v>
      </c>
      <c r="K39" s="3"/>
      <c r="L39" s="3">
        <v>29824.3</v>
      </c>
      <c r="N39" s="3">
        <v>-218.17</v>
      </c>
      <c r="O39" s="14">
        <f>SUM(B42/(SUM(B42:J42)))</f>
        <v>0.50646169595270096</v>
      </c>
      <c r="P39" s="1" t="s">
        <v>16</v>
      </c>
      <c r="Q39">
        <v>58.55</v>
      </c>
      <c r="R39" s="3">
        <f t="shared" si="0"/>
        <v>29.653332298030641</v>
      </c>
      <c r="S39">
        <v>65.53</v>
      </c>
      <c r="T39" s="3">
        <f>SUM(S39*0.34)</f>
        <v>22.280200000000001</v>
      </c>
    </row>
    <row r="40" spans="1:20" x14ac:dyDescent="0.2">
      <c r="A40" s="5" t="s">
        <v>8</v>
      </c>
      <c r="B40" s="3">
        <v>114132.61</v>
      </c>
      <c r="C40" s="3"/>
      <c r="D40" s="3">
        <v>11424.7</v>
      </c>
      <c r="E40" s="3"/>
      <c r="F40" s="3">
        <v>27887.83</v>
      </c>
      <c r="G40" s="3"/>
      <c r="H40" s="3">
        <v>500.09</v>
      </c>
      <c r="I40" s="3"/>
      <c r="J40" s="3">
        <v>536.64</v>
      </c>
      <c r="K40" s="3"/>
      <c r="L40" s="3">
        <v>15682.11</v>
      </c>
      <c r="N40" s="3">
        <v>0</v>
      </c>
      <c r="O40" s="14">
        <f>SUM(D42/(SUM(B42:J42)))</f>
        <v>5.2212538300892702E-2</v>
      </c>
      <c r="P40" s="1" t="s">
        <v>17</v>
      </c>
      <c r="Q40">
        <v>58.55</v>
      </c>
      <c r="R40" s="3">
        <f t="shared" si="0"/>
        <v>3.0570441175172678</v>
      </c>
      <c r="S40">
        <v>65.53</v>
      </c>
      <c r="T40" s="3">
        <f>SUM(S40*0.63)</f>
        <v>41.283900000000003</v>
      </c>
    </row>
    <row r="41" spans="1:20" x14ac:dyDescent="0.2">
      <c r="A41" s="5" t="s">
        <v>9</v>
      </c>
      <c r="B41" s="3">
        <v>189397.21</v>
      </c>
      <c r="C41" s="3"/>
      <c r="D41" s="3">
        <v>3372</v>
      </c>
      <c r="E41" s="3"/>
      <c r="F41" s="3">
        <v>38037.85</v>
      </c>
      <c r="G41" s="3"/>
      <c r="H41" s="3">
        <v>0</v>
      </c>
      <c r="I41" s="3"/>
      <c r="J41" s="3">
        <v>0</v>
      </c>
      <c r="K41" s="3"/>
      <c r="L41" s="3">
        <v>15017.52</v>
      </c>
      <c r="N41" s="3">
        <v>0</v>
      </c>
      <c r="O41" s="14">
        <f>SUM(F42/(SUM(B42:J42)))</f>
        <v>-7.721381047318393E-2</v>
      </c>
      <c r="P41" s="1" t="s">
        <v>18</v>
      </c>
      <c r="Q41">
        <v>58.55</v>
      </c>
      <c r="R41" s="3">
        <f t="shared" si="0"/>
        <v>-4.520868603204919</v>
      </c>
    </row>
    <row r="42" spans="1:20" x14ac:dyDescent="0.2">
      <c r="A42" s="1" t="s">
        <v>10</v>
      </c>
      <c r="B42" s="3">
        <f>SUM(B39+B40-B41)</f>
        <v>428662.56000000006</v>
      </c>
      <c r="C42" s="3"/>
      <c r="D42" s="3">
        <f>SUM(D39+D40-D41)</f>
        <v>44192.009999999995</v>
      </c>
      <c r="E42" s="3"/>
      <c r="F42" s="3">
        <f>SUM(F39+F40-F41)</f>
        <v>-65352.759999999995</v>
      </c>
      <c r="G42" s="3"/>
      <c r="H42" s="3">
        <f>SUM(H39+H40-H41)</f>
        <v>182972.69</v>
      </c>
      <c r="I42" s="3"/>
      <c r="J42" s="3">
        <f>SUM(J39+J40-J41)</f>
        <v>255912.43000000002</v>
      </c>
      <c r="K42" s="3"/>
      <c r="L42" s="3">
        <f>SUM(L39+L40-L41)</f>
        <v>30488.890000000003</v>
      </c>
      <c r="N42" s="3">
        <f>SUM(N39+N40-N41)</f>
        <v>-218.17</v>
      </c>
      <c r="O42" s="14">
        <f>SUM(H42/(SUM(B42:J42)))</f>
        <v>0.21618090203732232</v>
      </c>
      <c r="P42" s="1" t="s">
        <v>19</v>
      </c>
      <c r="Q42">
        <v>58.55</v>
      </c>
      <c r="R42" s="3">
        <f t="shared" si="0"/>
        <v>12.657391814285221</v>
      </c>
    </row>
    <row r="43" spans="1:20" x14ac:dyDescent="0.2">
      <c r="A43" s="4">
        <v>41334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O43" s="14">
        <f>SUM(J42/(SUM(B42:J42)))</f>
        <v>0.30235867418226792</v>
      </c>
      <c r="P43" s="1" t="s">
        <v>20</v>
      </c>
      <c r="Q43">
        <v>58.55</v>
      </c>
      <c r="R43" s="3">
        <f t="shared" si="0"/>
        <v>17.703100373371786</v>
      </c>
      <c r="S43">
        <v>65.53</v>
      </c>
      <c r="T43" s="3">
        <f>SUM(S43*0.03)</f>
        <v>1.9659</v>
      </c>
    </row>
    <row r="44" spans="1:20" x14ac:dyDescent="0.2">
      <c r="A44" s="1" t="s">
        <v>7</v>
      </c>
      <c r="B44" s="3">
        <v>428662.56</v>
      </c>
      <c r="C44" s="3"/>
      <c r="D44" s="3">
        <v>44192.01</v>
      </c>
      <c r="E44" s="3"/>
      <c r="F44" s="3">
        <v>-65352.76</v>
      </c>
      <c r="G44" s="3"/>
      <c r="H44" s="3">
        <v>182972.69</v>
      </c>
      <c r="I44" s="3"/>
      <c r="J44" s="3">
        <v>255912.43</v>
      </c>
      <c r="K44" s="3"/>
      <c r="L44" s="3">
        <v>30488.89</v>
      </c>
      <c r="N44" s="3">
        <v>-218.17</v>
      </c>
      <c r="O44" s="14">
        <f>SUM(B47/(SUM(B47:J47)))</f>
        <v>0.38200965140265364</v>
      </c>
      <c r="P44" s="1" t="s">
        <v>16</v>
      </c>
      <c r="Q44">
        <v>52.43</v>
      </c>
      <c r="R44" s="3">
        <f t="shared" si="0"/>
        <v>20.028766023041129</v>
      </c>
      <c r="S44">
        <v>64.47</v>
      </c>
      <c r="T44" s="3">
        <f>SUM(S44*0.34)</f>
        <v>21.919800000000002</v>
      </c>
    </row>
    <row r="45" spans="1:20" x14ac:dyDescent="0.2">
      <c r="A45" s="5" t="s">
        <v>8</v>
      </c>
      <c r="B45" s="3">
        <v>19172.29</v>
      </c>
      <c r="C45" s="3"/>
      <c r="D45" s="3">
        <v>10103.61</v>
      </c>
      <c r="E45" s="3"/>
      <c r="F45" s="3">
        <v>21949.06</v>
      </c>
      <c r="G45" s="3"/>
      <c r="H45" s="3">
        <v>1010.36</v>
      </c>
      <c r="I45" s="3"/>
      <c r="J45" s="3">
        <v>1717.61</v>
      </c>
      <c r="K45" s="3"/>
      <c r="L45" s="3">
        <v>8853.58</v>
      </c>
      <c r="N45" s="3">
        <v>1260</v>
      </c>
      <c r="O45" s="14">
        <f>SUM(D47/(SUM(B47:J47)))</f>
        <v>7.6816620571866612E-2</v>
      </c>
      <c r="P45" s="1" t="s">
        <v>17</v>
      </c>
      <c r="Q45">
        <v>52.43</v>
      </c>
      <c r="R45" s="3">
        <f t="shared" si="0"/>
        <v>4.0274954165829664</v>
      </c>
      <c r="S45">
        <v>64.47</v>
      </c>
      <c r="T45" s="3">
        <f>SUM(S45*0.63)</f>
        <v>40.616100000000003</v>
      </c>
    </row>
    <row r="46" spans="1:20" x14ac:dyDescent="0.2">
      <c r="A46" s="5" t="s">
        <v>9</v>
      </c>
      <c r="B46" s="3">
        <v>193410.65</v>
      </c>
      <c r="C46" s="3"/>
      <c r="D46" s="3">
        <v>3134.59</v>
      </c>
      <c r="E46" s="3"/>
      <c r="F46" s="3">
        <v>37779.51</v>
      </c>
      <c r="G46" s="3"/>
      <c r="H46" s="3">
        <v>0</v>
      </c>
      <c r="I46" s="3"/>
      <c r="J46" s="3">
        <v>0</v>
      </c>
      <c r="K46" s="3"/>
      <c r="L46" s="3">
        <v>12289.93</v>
      </c>
      <c r="N46" s="3">
        <v>0</v>
      </c>
      <c r="O46" s="14">
        <f>SUM(F47/(SUM(B47:J47)))</f>
        <v>-0.12189394621992887</v>
      </c>
      <c r="P46" s="1" t="s">
        <v>18</v>
      </c>
      <c r="Q46">
        <v>52.43</v>
      </c>
      <c r="R46" s="3">
        <f t="shared" si="0"/>
        <v>-6.3908996003108705</v>
      </c>
    </row>
    <row r="47" spans="1:20" x14ac:dyDescent="0.2">
      <c r="A47" s="1" t="s">
        <v>10</v>
      </c>
      <c r="B47" s="3">
        <f>SUM(B44+B45-B46)</f>
        <v>254424.19999999998</v>
      </c>
      <c r="C47" s="3"/>
      <c r="D47" s="3">
        <f>SUM(D44+D45-D46)</f>
        <v>51161.03</v>
      </c>
      <c r="E47" s="3"/>
      <c r="F47" s="3">
        <f>SUM(F44+F45-F46)</f>
        <v>-81183.209999999992</v>
      </c>
      <c r="G47" s="3"/>
      <c r="H47" s="3">
        <f>SUM(H44+H45-H46)</f>
        <v>183983.05</v>
      </c>
      <c r="I47" s="3"/>
      <c r="J47" s="3">
        <f>SUM(J44+J45-J46)</f>
        <v>257630.03999999998</v>
      </c>
      <c r="K47" s="3"/>
      <c r="L47" s="3">
        <f>SUM(L44+L45-L46)</f>
        <v>27052.54</v>
      </c>
      <c r="N47" s="3">
        <f>SUM(N44+N45-N46)</f>
        <v>1041.83</v>
      </c>
      <c r="O47" s="14">
        <f>SUM(H47/(SUM(B47:J47)))</f>
        <v>0.27624455847555773</v>
      </c>
      <c r="P47" s="1" t="s">
        <v>19</v>
      </c>
      <c r="Q47">
        <v>52.43</v>
      </c>
      <c r="R47" s="3">
        <f t="shared" si="0"/>
        <v>14.483502200873492</v>
      </c>
    </row>
    <row r="48" spans="1:20" x14ac:dyDescent="0.2">
      <c r="A48" s="4">
        <v>41365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O48" s="14">
        <f>SUM(J47/(SUM(B47:J47)))</f>
        <v>0.38682311576985096</v>
      </c>
      <c r="P48" s="1" t="s">
        <v>20</v>
      </c>
      <c r="Q48">
        <v>52.43</v>
      </c>
      <c r="R48" s="3">
        <f t="shared" si="0"/>
        <v>20.281135959813284</v>
      </c>
      <c r="S48">
        <v>64.47</v>
      </c>
      <c r="T48" s="3">
        <f>SUM(S48*0.03)</f>
        <v>1.9340999999999999</v>
      </c>
    </row>
    <row r="49" spans="1:20" x14ac:dyDescent="0.2">
      <c r="A49" s="1" t="s">
        <v>7</v>
      </c>
      <c r="B49" s="3">
        <v>254424.2</v>
      </c>
      <c r="C49" s="3"/>
      <c r="D49" s="3">
        <v>51161.03</v>
      </c>
      <c r="E49" s="3"/>
      <c r="F49" s="3">
        <v>-81183.210000000006</v>
      </c>
      <c r="G49" s="3"/>
      <c r="H49" s="3">
        <v>183983.05</v>
      </c>
      <c r="I49" s="3"/>
      <c r="J49" s="3">
        <v>257630.04</v>
      </c>
      <c r="K49" s="3"/>
      <c r="L49" s="3">
        <v>27052.54</v>
      </c>
      <c r="N49" s="3">
        <v>1041.83</v>
      </c>
      <c r="O49" s="14">
        <f>SUM(B52/(SUM(B52:J52)))</f>
        <v>0.28866465567030103</v>
      </c>
      <c r="P49" s="1" t="s">
        <v>16</v>
      </c>
      <c r="Q49">
        <v>37.85</v>
      </c>
      <c r="R49" s="3">
        <f t="shared" si="0"/>
        <v>10.925957217120894</v>
      </c>
      <c r="S49">
        <v>37.4</v>
      </c>
      <c r="T49" s="3">
        <f>SUM(S49*0.34)</f>
        <v>12.716000000000001</v>
      </c>
    </row>
    <row r="50" spans="1:20" x14ac:dyDescent="0.2">
      <c r="A50" s="5" t="s">
        <v>8</v>
      </c>
      <c r="B50" s="3">
        <v>130517.13</v>
      </c>
      <c r="C50" s="3"/>
      <c r="D50" s="3">
        <v>20990.6</v>
      </c>
      <c r="E50" s="3"/>
      <c r="F50" s="3">
        <v>11153.31</v>
      </c>
      <c r="G50" s="3"/>
      <c r="H50" s="3">
        <v>2099.0500000000002</v>
      </c>
      <c r="I50" s="3"/>
      <c r="J50" s="3">
        <v>3570.55</v>
      </c>
      <c r="K50" s="3"/>
      <c r="L50" s="3">
        <v>22953.19</v>
      </c>
      <c r="N50" s="3">
        <v>1050</v>
      </c>
      <c r="O50" s="14">
        <f>SUM(D52/(SUM(B52:J52)))</f>
        <v>0.12117743319556429</v>
      </c>
      <c r="P50" s="1" t="s">
        <v>17</v>
      </c>
      <c r="Q50">
        <v>37.85</v>
      </c>
      <c r="R50" s="3">
        <f t="shared" si="0"/>
        <v>4.5865658464521086</v>
      </c>
      <c r="S50">
        <v>37.4</v>
      </c>
      <c r="T50" s="3">
        <f>SUM(S50*0.63)</f>
        <v>23.561999999999998</v>
      </c>
    </row>
    <row r="51" spans="1:20" x14ac:dyDescent="0.2">
      <c r="A51" s="5" t="s">
        <v>9</v>
      </c>
      <c r="B51" s="3">
        <v>218579.66</v>
      </c>
      <c r="C51" s="3"/>
      <c r="D51" s="3">
        <v>2315.3000000000002</v>
      </c>
      <c r="E51" s="3"/>
      <c r="F51" s="3">
        <v>37136.14</v>
      </c>
      <c r="G51" s="3"/>
      <c r="H51" s="3">
        <v>0</v>
      </c>
      <c r="I51" s="3"/>
      <c r="J51" s="3">
        <v>0</v>
      </c>
      <c r="K51" s="3"/>
      <c r="L51" s="3">
        <v>16193.21</v>
      </c>
      <c r="N51" s="3">
        <v>0</v>
      </c>
      <c r="O51" s="14">
        <f>SUM(F52/(SUM(B52:J52)))</f>
        <v>-0.1859505740483953</v>
      </c>
      <c r="P51" s="1" t="s">
        <v>18</v>
      </c>
      <c r="Q51">
        <v>37.85</v>
      </c>
      <c r="R51" s="3">
        <f t="shared" si="0"/>
        <v>-7.0382292277317626</v>
      </c>
    </row>
    <row r="52" spans="1:20" x14ac:dyDescent="0.2">
      <c r="A52" s="1" t="s">
        <v>10</v>
      </c>
      <c r="B52" s="3">
        <f>SUM(B49+B50-B51)</f>
        <v>166361.67000000001</v>
      </c>
      <c r="C52" s="3"/>
      <c r="D52" s="3">
        <f>SUM(D49+D50-D51)</f>
        <v>69836.33</v>
      </c>
      <c r="E52" s="3"/>
      <c r="F52" s="3">
        <f>SUM(F49+F50-F51)</f>
        <v>-107166.04000000001</v>
      </c>
      <c r="G52" s="3"/>
      <c r="H52" s="3">
        <f>SUM(H49+H50-H51)</f>
        <v>186082.09999999998</v>
      </c>
      <c r="I52" s="3"/>
      <c r="J52" s="3">
        <f>SUM(J49+J50-J51)</f>
        <v>261200.59</v>
      </c>
      <c r="K52" s="3"/>
      <c r="L52" s="3">
        <f>SUM(L49+L50-L51)</f>
        <v>33812.519999999997</v>
      </c>
      <c r="N52" s="3">
        <f>SUM(N49+N50-N51)</f>
        <v>2091.83</v>
      </c>
      <c r="O52" s="14">
        <f>SUM(H52/(SUM(B52:J52)))</f>
        <v>0.32288282104228999</v>
      </c>
      <c r="P52" s="1" t="s">
        <v>19</v>
      </c>
      <c r="Q52">
        <v>37.85</v>
      </c>
      <c r="R52" s="3">
        <f t="shared" si="0"/>
        <v>12.221114776450676</v>
      </c>
    </row>
    <row r="53" spans="1:20" x14ac:dyDescent="0.2">
      <c r="A53" s="4">
        <v>41395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O53" s="14">
        <f>SUM(J52/(SUM(B52:J52)))</f>
        <v>0.45322566414024013</v>
      </c>
      <c r="P53" s="1" t="s">
        <v>20</v>
      </c>
      <c r="Q53">
        <v>37.85</v>
      </c>
      <c r="R53" s="3">
        <f t="shared" si="0"/>
        <v>17.154591387708088</v>
      </c>
      <c r="S53">
        <v>37.4</v>
      </c>
      <c r="T53" s="3">
        <f>SUM(S53*0.03)</f>
        <v>1.1219999999999999</v>
      </c>
    </row>
    <row r="54" spans="1:20" x14ac:dyDescent="0.2">
      <c r="A54" s="1" t="s">
        <v>7</v>
      </c>
      <c r="B54" s="3">
        <v>166361.67000000001</v>
      </c>
      <c r="C54" s="3"/>
      <c r="D54" s="3">
        <v>69836.33</v>
      </c>
      <c r="E54" s="3"/>
      <c r="F54" s="3">
        <v>-107166.04</v>
      </c>
      <c r="G54" s="3"/>
      <c r="H54" s="3">
        <v>186082.1</v>
      </c>
      <c r="I54" s="3"/>
      <c r="J54" s="3">
        <v>261200.59</v>
      </c>
      <c r="K54" s="3"/>
      <c r="L54" s="3">
        <v>33812.519999999997</v>
      </c>
      <c r="N54" s="3">
        <v>2091.83</v>
      </c>
      <c r="O54" s="14">
        <f>SUM(B57/(SUM(B57:J57)))</f>
        <v>0.44424332096116104</v>
      </c>
      <c r="P54" s="1" t="s">
        <v>16</v>
      </c>
      <c r="Q54">
        <v>89.68</v>
      </c>
      <c r="R54" s="3">
        <f t="shared" si="0"/>
        <v>39.839741023796925</v>
      </c>
      <c r="S54">
        <v>148.77000000000001</v>
      </c>
      <c r="T54" s="3">
        <f>SUM(S54*0.34)</f>
        <v>50.581800000000008</v>
      </c>
    </row>
    <row r="55" spans="1:20" x14ac:dyDescent="0.2">
      <c r="A55" s="5" t="s">
        <v>8</v>
      </c>
      <c r="B55" s="3">
        <v>827678.39</v>
      </c>
      <c r="C55" s="3"/>
      <c r="D55" s="3">
        <v>364814.77</v>
      </c>
      <c r="E55" s="3"/>
      <c r="F55" s="3">
        <v>171363.05</v>
      </c>
      <c r="G55" s="3"/>
      <c r="H55" s="3">
        <v>36434.29</v>
      </c>
      <c r="I55" s="3"/>
      <c r="J55" s="3">
        <v>61958.05</v>
      </c>
      <c r="K55" s="3"/>
      <c r="L55" s="3">
        <v>15441.03</v>
      </c>
      <c r="N55" s="3">
        <v>1720</v>
      </c>
      <c r="O55" s="14">
        <f>SUM(D57/(SUM(B57:J57)))</f>
        <v>0.23837589690623592</v>
      </c>
      <c r="P55" s="1" t="s">
        <v>17</v>
      </c>
      <c r="Q55">
        <v>89.68</v>
      </c>
      <c r="R55" s="3">
        <f t="shared" si="0"/>
        <v>21.377550434551239</v>
      </c>
      <c r="S55">
        <v>148.77000000000001</v>
      </c>
      <c r="T55" s="3">
        <f>SUM(S55*0.63)</f>
        <v>93.725100000000012</v>
      </c>
    </row>
    <row r="56" spans="1:20" x14ac:dyDescent="0.2">
      <c r="A56" s="5" t="s">
        <v>9</v>
      </c>
      <c r="B56" s="3">
        <v>193052.36</v>
      </c>
      <c r="C56" s="3"/>
      <c r="D56" s="3">
        <v>4850.24</v>
      </c>
      <c r="E56" s="3"/>
      <c r="F56" s="3">
        <v>37622.35</v>
      </c>
      <c r="G56" s="3"/>
      <c r="H56" s="3">
        <v>0</v>
      </c>
      <c r="I56" s="3"/>
      <c r="J56" s="3">
        <v>0</v>
      </c>
      <c r="K56" s="3"/>
      <c r="L56" s="3">
        <v>11891.86</v>
      </c>
      <c r="N56" s="3">
        <v>0</v>
      </c>
      <c r="O56" s="14">
        <f>SUM(F57/(SUM(B57:J57)))</f>
        <v>1.4738822096536219E-2</v>
      </c>
      <c r="P56" s="1" t="s">
        <v>18</v>
      </c>
      <c r="Q56">
        <v>89.68</v>
      </c>
      <c r="R56" s="3">
        <f t="shared" si="0"/>
        <v>1.3217775656173683</v>
      </c>
    </row>
    <row r="57" spans="1:20" x14ac:dyDescent="0.2">
      <c r="A57" s="1" t="s">
        <v>10</v>
      </c>
      <c r="B57" s="3">
        <f>SUM(B54+B55-B56)</f>
        <v>800987.70000000007</v>
      </c>
      <c r="C57" s="3"/>
      <c r="D57" s="3">
        <f>SUM(D54+D55-D56)</f>
        <v>429800.86000000004</v>
      </c>
      <c r="E57" s="3"/>
      <c r="F57" s="3">
        <f>SUM(F54+F55-F56)</f>
        <v>26574.659999999996</v>
      </c>
      <c r="G57" s="3"/>
      <c r="H57" s="3">
        <f>SUM(H54+H55-H56)</f>
        <v>222516.39</v>
      </c>
      <c r="I57" s="3"/>
      <c r="J57" s="3">
        <f>SUM(J54+J55-J56)</f>
        <v>323158.64</v>
      </c>
      <c r="K57" s="3"/>
      <c r="L57" s="3">
        <f>SUM(L54+L55-L56)</f>
        <v>37361.689999999995</v>
      </c>
      <c r="N57" s="3">
        <f>SUM(N54+N55-N56)</f>
        <v>3811.83</v>
      </c>
      <c r="O57" s="14">
        <f>SUM(H57/(SUM(B57:J57)))</f>
        <v>0.12341190765087763</v>
      </c>
      <c r="P57" s="1" t="s">
        <v>19</v>
      </c>
      <c r="Q57">
        <v>89.68</v>
      </c>
      <c r="R57" s="3">
        <f t="shared" si="0"/>
        <v>11.067579878130706</v>
      </c>
    </row>
    <row r="58" spans="1:20" x14ac:dyDescent="0.2">
      <c r="A58" s="4">
        <v>41426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O58" s="14">
        <f>SUM(J57/(SUM(B57:J57)))</f>
        <v>0.1792300523851893</v>
      </c>
      <c r="P58" s="1" t="s">
        <v>20</v>
      </c>
      <c r="Q58">
        <v>89.68</v>
      </c>
      <c r="R58" s="3">
        <f t="shared" si="0"/>
        <v>16.073351097903778</v>
      </c>
      <c r="S58">
        <v>148.77000000000001</v>
      </c>
      <c r="T58" s="3">
        <f>SUM(S58*0.03)</f>
        <v>4.4630999999999998</v>
      </c>
    </row>
    <row r="59" spans="1:20" x14ac:dyDescent="0.2">
      <c r="A59" s="1" t="s">
        <v>7</v>
      </c>
      <c r="B59" s="3">
        <v>800987.7</v>
      </c>
      <c r="C59" s="3"/>
      <c r="D59" s="3">
        <v>429800.86</v>
      </c>
      <c r="E59" s="3"/>
      <c r="F59" s="3">
        <v>26574.66</v>
      </c>
      <c r="G59" s="3"/>
      <c r="H59" s="3">
        <v>222516.39</v>
      </c>
      <c r="I59" s="3"/>
      <c r="J59" s="3">
        <v>323158.64</v>
      </c>
      <c r="K59" s="3"/>
      <c r="L59" s="3">
        <v>37361.69</v>
      </c>
      <c r="N59" s="3">
        <v>3811.83</v>
      </c>
      <c r="O59" s="14">
        <f>SUM(B62/(SUM(B62:J62)))</f>
        <v>0.36874667944934503</v>
      </c>
      <c r="P59" s="1" t="s">
        <v>16</v>
      </c>
      <c r="Q59">
        <v>135.13</v>
      </c>
      <c r="R59" s="3">
        <f t="shared" si="0"/>
        <v>49.828738793989992</v>
      </c>
      <c r="T59" s="3">
        <f>SUM(S59*0.34)</f>
        <v>0</v>
      </c>
    </row>
    <row r="60" spans="1:20" x14ac:dyDescent="0.2">
      <c r="A60" s="5" t="s">
        <v>8</v>
      </c>
      <c r="B60" s="3">
        <v>141211.75</v>
      </c>
      <c r="C60" s="3"/>
      <c r="D60" s="3">
        <v>64565.79</v>
      </c>
      <c r="E60" s="3"/>
      <c r="F60" s="3">
        <v>74256.899999999994</v>
      </c>
      <c r="G60" s="3"/>
      <c r="H60" s="3">
        <v>3235.01</v>
      </c>
      <c r="I60" s="3"/>
      <c r="J60" s="3">
        <v>5516.3</v>
      </c>
      <c r="K60" s="3"/>
      <c r="L60" s="3">
        <v>7785.59</v>
      </c>
      <c r="N60" s="3">
        <v>0</v>
      </c>
      <c r="O60" s="14">
        <f>SUM(D62/(SUM(B62:J62)))</f>
        <v>0.30433648842097721</v>
      </c>
      <c r="P60" s="1" t="s">
        <v>17</v>
      </c>
      <c r="Q60">
        <v>135.13</v>
      </c>
      <c r="R60" s="3">
        <f t="shared" si="0"/>
        <v>41.124989680326649</v>
      </c>
      <c r="T60" s="3">
        <f>SUM(S60*0.63)</f>
        <v>0</v>
      </c>
    </row>
    <row r="61" spans="1:20" x14ac:dyDescent="0.2">
      <c r="A61" s="5" t="s">
        <v>9</v>
      </c>
      <c r="B61" s="3">
        <v>391468.5</v>
      </c>
      <c r="C61" s="3"/>
      <c r="D61" s="3">
        <v>39833.68</v>
      </c>
      <c r="E61" s="3"/>
      <c r="F61" s="3">
        <v>87627.71</v>
      </c>
      <c r="G61" s="3"/>
      <c r="H61" s="3">
        <v>79373</v>
      </c>
      <c r="I61" s="3"/>
      <c r="J61" s="3">
        <v>0</v>
      </c>
      <c r="K61" s="3"/>
      <c r="L61" s="3">
        <v>24885.51</v>
      </c>
      <c r="N61" s="3">
        <v>3273.13</v>
      </c>
      <c r="O61" s="14">
        <f>SUM(F62/(SUM(B62:J62)))</f>
        <v>8.8407521739013069E-3</v>
      </c>
      <c r="P61" s="1" t="s">
        <v>18</v>
      </c>
      <c r="Q61">
        <v>135.13</v>
      </c>
      <c r="R61" s="3">
        <f t="shared" si="0"/>
        <v>1.1946508412592836</v>
      </c>
    </row>
    <row r="62" spans="1:20" x14ac:dyDescent="0.2">
      <c r="A62" s="1" t="s">
        <v>10</v>
      </c>
      <c r="B62" s="3">
        <f>SUM(B59+B60-B61)</f>
        <v>550730.94999999995</v>
      </c>
      <c r="C62" s="3"/>
      <c r="D62" s="3">
        <f>SUM(D59+D60-D61)</f>
        <v>454532.97</v>
      </c>
      <c r="E62" s="3"/>
      <c r="F62" s="3">
        <f>SUM(F59+F60-F61)</f>
        <v>13203.849999999991</v>
      </c>
      <c r="G62" s="3"/>
      <c r="H62" s="3">
        <f>SUM(H59+H60-H61)</f>
        <v>146378.40000000002</v>
      </c>
      <c r="I62" s="3"/>
      <c r="J62" s="3">
        <f>SUM(J59+J60-J61)</f>
        <v>328674.94</v>
      </c>
      <c r="K62" s="3"/>
      <c r="L62" s="3">
        <f>SUM(L59+L60-L61)</f>
        <v>20261.77</v>
      </c>
      <c r="N62" s="3">
        <f>SUM(N59+N60-N61)</f>
        <v>538.69999999999982</v>
      </c>
      <c r="O62" s="14">
        <f>SUM(H62/(SUM(B62:J62)))</f>
        <v>9.8008926033861035E-2</v>
      </c>
      <c r="P62" s="1" t="s">
        <v>19</v>
      </c>
      <c r="Q62">
        <v>135.13</v>
      </c>
      <c r="R62" s="3">
        <f t="shared" si="0"/>
        <v>13.24394617495564</v>
      </c>
    </row>
    <row r="63" spans="1:20" x14ac:dyDescent="0.2">
      <c r="A63" s="5" t="s">
        <v>26</v>
      </c>
      <c r="B63" s="3">
        <v>209676.33</v>
      </c>
      <c r="C63" s="3"/>
      <c r="D63" s="3"/>
      <c r="E63" s="3"/>
      <c r="F63" s="3">
        <v>40692.239999999998</v>
      </c>
      <c r="G63" s="3"/>
      <c r="H63" s="3"/>
      <c r="I63" s="3"/>
      <c r="J63" s="3"/>
      <c r="K63" s="3"/>
      <c r="L63" s="3">
        <v>13185.44</v>
      </c>
      <c r="N63" s="3">
        <v>2591.2199999999998</v>
      </c>
      <c r="O63" s="14">
        <f>SUM(J62/(SUM(B62:J62)))</f>
        <v>0.22006715392191545</v>
      </c>
      <c r="P63" s="1" t="s">
        <v>20</v>
      </c>
      <c r="Q63">
        <v>135.13</v>
      </c>
      <c r="R63" s="3">
        <f t="shared" si="0"/>
        <v>29.737674509468434</v>
      </c>
      <c r="T63" s="3">
        <f>SUM(S63*0.03)</f>
        <v>0</v>
      </c>
    </row>
    <row r="64" spans="1:20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14"/>
    </row>
    <row r="66" spans="1:21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</row>
    <row r="67" spans="1:21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</row>
    <row r="68" spans="1:21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14"/>
    </row>
    <row r="69" spans="1:21" x14ac:dyDescent="0.2">
      <c r="A69" s="1" t="s">
        <v>15</v>
      </c>
      <c r="B69" s="3">
        <f>SUM(B62:B68)</f>
        <v>760407.27999999991</v>
      </c>
      <c r="C69" s="3"/>
      <c r="D69" s="3">
        <f>SUM(D62:D68)</f>
        <v>454532.97</v>
      </c>
      <c r="E69" s="3"/>
      <c r="F69" s="3">
        <f>SUM(F62:F68)</f>
        <v>53896.089999999989</v>
      </c>
      <c r="G69" s="3"/>
      <c r="H69" s="3">
        <f>SUM(H62:H68)</f>
        <v>146378.40000000002</v>
      </c>
      <c r="I69" s="3"/>
      <c r="J69" s="3">
        <f>SUM(J62:J68)</f>
        <v>328674.94</v>
      </c>
      <c r="K69" s="3"/>
      <c r="L69" s="3">
        <f>SUM(L62:L68)</f>
        <v>33447.21</v>
      </c>
      <c r="N69" s="3">
        <f>SUM(N62:N68)</f>
        <v>3129.9199999999996</v>
      </c>
      <c r="O69" s="14"/>
      <c r="P69" s="1" t="s">
        <v>16</v>
      </c>
      <c r="R69" s="2">
        <f>SUM(R3,R8,R13,R18,R23,R28,R33,R39,R44,R49,R54,R59)</f>
        <v>531.37794613131052</v>
      </c>
      <c r="T69" s="2">
        <f>SUM(T3,T8,T13,T18,T23,T28,T33,T39,T44,T49,T54,T59)</f>
        <v>628.09220000000005</v>
      </c>
      <c r="U69" s="2">
        <f>SUM(R69+T69+(R71*0.4))</f>
        <v>1142.9674580703243</v>
      </c>
    </row>
    <row r="70" spans="1:21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4"/>
      <c r="P70" s="1" t="s">
        <v>17</v>
      </c>
      <c r="R70" s="2">
        <f>SUM(R4,R9,R14,R19,R24,R29,R34,R40,R45,R50,R55,R60)</f>
        <v>42.778360585541257</v>
      </c>
      <c r="T70" s="2">
        <f>SUM(T4,T9,T14,T19,T24,T29,T34,T40,T45,T50,T55,T60)</f>
        <v>1163.8242</v>
      </c>
      <c r="U70" s="2">
        <f>SUM(R70+T70+(R71*0.35))</f>
        <v>1192.1627085321782</v>
      </c>
    </row>
    <row r="71" spans="1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14"/>
      <c r="P71" s="1" t="s">
        <v>18</v>
      </c>
      <c r="R71" s="2">
        <f>SUM(R5,R10,R15,R20,R25,R30,R35,R41,R46,R51,R56,R61)</f>
        <v>-41.256720152466194</v>
      </c>
      <c r="T71" s="1"/>
    </row>
    <row r="72" spans="1:21" x14ac:dyDescent="0.2">
      <c r="B72" s="3">
        <f>SUM(B5,B10,B15,B20,B25,B30,B35,B41,B46,B51,B56,B61)</f>
        <v>2577625.2999999998</v>
      </c>
      <c r="C72" s="3"/>
      <c r="D72" s="3">
        <f>SUM(D5,D10,D15,D20,D25,D30,D35,D41,D46,D51,D56,D61)</f>
        <v>743376.32000000007</v>
      </c>
      <c r="E72" s="3"/>
      <c r="F72" s="3">
        <f>SUM(F5,F10,F15,F20,F25,F30,F35,F41,F46,F51,F56,F61)</f>
        <v>516168.26999999996</v>
      </c>
      <c r="G72" s="3"/>
      <c r="H72" s="3">
        <f>SUM(H5,H10,H15,H20,H25,H30,H35,H41,H46,H51,H56,H61)</f>
        <v>88873</v>
      </c>
      <c r="I72" s="3"/>
      <c r="J72" s="3">
        <f>SUM(J5,J10,J15,J20,J25,J30,J35,J41,J46,J51,J56,J61)</f>
        <v>81225</v>
      </c>
      <c r="K72" s="3"/>
      <c r="L72" s="3">
        <f>SUM(L5,L10,L15,L20,L25,L30,L35,L41,L46,L51,L56,L61)</f>
        <v>167685.70000000001</v>
      </c>
      <c r="N72" s="3">
        <f>SUM(N5,N10,N15,N20,N25,N30,N35,N41,N46,N51,N56,N61)</f>
        <v>7601.36</v>
      </c>
      <c r="O72" s="14"/>
      <c r="P72" s="1" t="s">
        <v>19</v>
      </c>
      <c r="R72" s="2">
        <f>SUM(R6,R11,R16,R21,R26,R31,R37,R42,R47,R52,R57,R62)</f>
        <v>185.94923701481008</v>
      </c>
      <c r="T72" s="1"/>
      <c r="U72" s="2">
        <f>SUM(R72+(R71*0.125))</f>
        <v>180.79214699575181</v>
      </c>
    </row>
    <row r="73" spans="1:21" x14ac:dyDescent="0.2">
      <c r="B73" s="15">
        <f>SUM(B69/B72)</f>
        <v>0.29500303244230258</v>
      </c>
      <c r="C73" s="3"/>
      <c r="D73" s="15">
        <f>SUM(D69/D72)</f>
        <v>0.61144397228041902</v>
      </c>
      <c r="E73" s="3"/>
      <c r="F73" s="15">
        <f>SUM(F69/F72)</f>
        <v>0.10441573636442239</v>
      </c>
      <c r="G73" s="3"/>
      <c r="H73" s="15">
        <f>SUM(H69/H72)</f>
        <v>1.6470514104396163</v>
      </c>
      <c r="I73" s="3"/>
      <c r="J73" s="15">
        <f>SUM(J69/J72)</f>
        <v>4.0464751000307784</v>
      </c>
      <c r="K73" s="3"/>
      <c r="L73" s="15">
        <f>SUM(L69/L72)</f>
        <v>0.19946369905126077</v>
      </c>
      <c r="N73" s="15">
        <f>SUM(N69/N72)</f>
        <v>0.41175789595546058</v>
      </c>
      <c r="O73" s="14"/>
      <c r="P73" s="1" t="s">
        <v>20</v>
      </c>
      <c r="R73" s="2">
        <f>SUM(R7,R12,R17,R22,R27,R32,R38,R43,R48,R53,R58,R63)</f>
        <v>258.10117642080422</v>
      </c>
      <c r="T73" s="2">
        <f>SUM(T7,T12,T17,T22,T27,T32,T38,T43,T48,T53,T58,T63)</f>
        <v>55.433399999999999</v>
      </c>
      <c r="U73" s="2">
        <f>SUM(R73+T73+(R71*0.125))</f>
        <v>308.37748640174595</v>
      </c>
    </row>
  </sheetData>
  <pageMargins left="0.7" right="0.7" top="0.75" bottom="0.75" header="0.3" footer="0.3"/>
  <pageSetup scale="96" orientation="landscape" r:id="rId1"/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1" zoomScaleNormal="100" workbookViewId="0">
      <selection activeCell="F75" sqref="F75"/>
    </sheetView>
  </sheetViews>
  <sheetFormatPr defaultRowHeight="12.75" x14ac:dyDescent="0.2"/>
  <cols>
    <col min="1" max="1" width="24.28515625" customWidth="1"/>
    <col min="2" max="2" width="13.7109375" customWidth="1"/>
    <col min="3" max="3" width="1.7109375" customWidth="1"/>
    <col min="4" max="4" width="13.7109375" customWidth="1"/>
    <col min="5" max="5" width="1.85546875" customWidth="1"/>
    <col min="6" max="6" width="13.7109375" customWidth="1"/>
    <col min="7" max="7" width="2" customWidth="1"/>
    <col min="8" max="8" width="11.85546875" customWidth="1"/>
    <col min="9" max="9" width="2.140625" customWidth="1"/>
    <col min="10" max="10" width="11.5703125" customWidth="1"/>
    <col min="11" max="11" width="1.7109375" customWidth="1"/>
    <col min="12" max="12" width="12.42578125" customWidth="1"/>
    <col min="13" max="13" width="1.7109375" customWidth="1"/>
    <col min="14" max="14" width="12.28515625" customWidth="1"/>
    <col min="15" max="15" width="2.5703125" customWidth="1"/>
    <col min="16" max="16" width="10" customWidth="1"/>
    <col min="17" max="17" width="13" customWidth="1"/>
    <col min="19" max="19" width="9.85546875" style="3" customWidth="1"/>
    <col min="20" max="20" width="9.85546875" customWidth="1"/>
    <col min="21" max="21" width="9.140625" style="3"/>
    <col min="22" max="22" width="9.28515625" bestFit="1" customWidth="1"/>
    <col min="23" max="23" width="10.85546875" bestFit="1" customWidth="1"/>
  </cols>
  <sheetData>
    <row r="1" spans="1:22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" t="s">
        <v>38</v>
      </c>
      <c r="Q1" s="13" t="s">
        <v>21</v>
      </c>
      <c r="R1" s="1"/>
      <c r="S1" s="2" t="s">
        <v>22</v>
      </c>
      <c r="T1" s="2"/>
      <c r="U1" s="2" t="s">
        <v>23</v>
      </c>
    </row>
    <row r="2" spans="1:22" x14ac:dyDescent="0.2">
      <c r="A2" s="4">
        <v>40725</v>
      </c>
      <c r="Q2" s="14"/>
    </row>
    <row r="3" spans="1:22" x14ac:dyDescent="0.2">
      <c r="A3" s="1" t="s">
        <v>7</v>
      </c>
      <c r="B3" s="3">
        <v>802961.43</v>
      </c>
      <c r="C3" s="3"/>
      <c r="D3" s="3">
        <v>524273.5</v>
      </c>
      <c r="E3" s="3"/>
      <c r="F3" s="3">
        <v>30765.18</v>
      </c>
      <c r="G3" s="3"/>
      <c r="H3" s="3">
        <v>159574.92000000001</v>
      </c>
      <c r="I3" s="3"/>
      <c r="J3" s="3">
        <v>260429.63</v>
      </c>
      <c r="K3" s="3"/>
      <c r="L3" s="3">
        <v>1082590.7</v>
      </c>
      <c r="M3" s="3"/>
      <c r="N3" s="3">
        <v>39815.699999999997</v>
      </c>
      <c r="Q3" s="14">
        <f>SUM(B6/(SUM(B6:J6)))</f>
        <v>0.63178238018082267</v>
      </c>
      <c r="R3" s="1" t="s">
        <v>16</v>
      </c>
      <c r="S3" s="3">
        <v>377.28</v>
      </c>
      <c r="T3" s="3">
        <f>SUM(Q3*S3)</f>
        <v>238.35885639462074</v>
      </c>
      <c r="U3" s="3">
        <v>712.84</v>
      </c>
      <c r="V3" s="3">
        <f>SUM(U3*0.34)</f>
        <v>242.36560000000003</v>
      </c>
    </row>
    <row r="4" spans="1:22" x14ac:dyDescent="0.2">
      <c r="A4" s="5" t="s">
        <v>8</v>
      </c>
      <c r="B4" s="3">
        <v>78933.95</v>
      </c>
      <c r="C4" s="3"/>
      <c r="D4" s="3">
        <v>8692.4699999999993</v>
      </c>
      <c r="E4" s="3"/>
      <c r="F4" s="3">
        <v>3614.15</v>
      </c>
      <c r="G4" s="3"/>
      <c r="H4" s="3">
        <v>270.91000000000003</v>
      </c>
      <c r="I4" s="3"/>
      <c r="J4" s="3">
        <v>790.5</v>
      </c>
      <c r="K4" s="3"/>
      <c r="L4" s="3">
        <v>0</v>
      </c>
      <c r="M4" s="3"/>
      <c r="N4" s="3">
        <v>0</v>
      </c>
      <c r="Q4" s="14">
        <f>SUM(D6/(SUM(B6:J6)))</f>
        <v>0.1172566006757691</v>
      </c>
      <c r="R4" s="1" t="s">
        <v>17</v>
      </c>
      <c r="S4" s="3">
        <v>377.28</v>
      </c>
      <c r="T4" s="3">
        <f t="shared" ref="T4:T63" si="0">SUM(Q4*S4)</f>
        <v>44.238570302954159</v>
      </c>
      <c r="U4" s="3">
        <v>712.84</v>
      </c>
      <c r="V4" s="3">
        <f>SUM(U4*0.63)</f>
        <v>449.08920000000001</v>
      </c>
    </row>
    <row r="5" spans="1:22" x14ac:dyDescent="0.2">
      <c r="A5" s="5" t="s">
        <v>9</v>
      </c>
      <c r="B5" s="3">
        <v>194748.76</v>
      </c>
      <c r="C5" s="3"/>
      <c r="D5" s="3">
        <v>405433.96</v>
      </c>
      <c r="E5" s="3"/>
      <c r="F5" s="3">
        <v>35647.1</v>
      </c>
      <c r="G5" s="3"/>
      <c r="H5" s="3">
        <v>4725</v>
      </c>
      <c r="I5" s="3"/>
      <c r="J5" s="3">
        <v>142120</v>
      </c>
      <c r="K5" s="3"/>
      <c r="L5" s="3">
        <v>565479</v>
      </c>
      <c r="M5" s="3"/>
      <c r="N5" s="3">
        <v>7094.88</v>
      </c>
      <c r="Q5" s="14">
        <f>SUM(F6/(SUM(B6:J6)))</f>
        <v>-1.165624227507427E-3</v>
      </c>
      <c r="R5" s="1" t="s">
        <v>18</v>
      </c>
      <c r="S5" s="3">
        <v>377.28</v>
      </c>
      <c r="T5" s="3">
        <f t="shared" si="0"/>
        <v>-0.43976670855400202</v>
      </c>
    </row>
    <row r="6" spans="1:22" x14ac:dyDescent="0.2">
      <c r="A6" s="1" t="s">
        <v>10</v>
      </c>
      <c r="B6" s="3">
        <f>SUM(B3+B4-B5)</f>
        <v>687146.62</v>
      </c>
      <c r="C6" s="3"/>
      <c r="D6" s="3">
        <f>SUM(D3+D4-D5)</f>
        <v>127532.00999999995</v>
      </c>
      <c r="E6" s="3"/>
      <c r="F6" s="3">
        <f>SUM(F3+F4-F5)</f>
        <v>-1267.7699999999968</v>
      </c>
      <c r="G6" s="3"/>
      <c r="H6" s="3">
        <f>SUM(H3+H4-H5)</f>
        <v>155120.83000000002</v>
      </c>
      <c r="I6" s="3"/>
      <c r="J6" s="3">
        <f>SUM(J3+J4-J5)</f>
        <v>119100.13</v>
      </c>
      <c r="K6" s="3"/>
      <c r="L6" s="3">
        <f>SUM(L3+L4-L5)</f>
        <v>517111.69999999995</v>
      </c>
      <c r="M6" s="3"/>
      <c r="N6" s="3">
        <f>SUM(N3+N4-N5)</f>
        <v>32720.819999999996</v>
      </c>
      <c r="Q6" s="14">
        <f>SUM(H6/(SUM(B6:J6)))</f>
        <v>0.14262255585718339</v>
      </c>
      <c r="R6" s="1" t="s">
        <v>19</v>
      </c>
      <c r="S6" s="3">
        <v>377.28</v>
      </c>
      <c r="T6" s="3">
        <f t="shared" si="0"/>
        <v>53.808637873798148</v>
      </c>
    </row>
    <row r="7" spans="1:22" x14ac:dyDescent="0.2">
      <c r="A7" s="4">
        <v>40756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4">
        <f>SUM(J6/(SUM(B6:J6)))</f>
        <v>0.10950408751373238</v>
      </c>
      <c r="R7" s="1" t="s">
        <v>20</v>
      </c>
      <c r="S7" s="3">
        <v>377.28</v>
      </c>
      <c r="T7" s="3">
        <f t="shared" si="0"/>
        <v>41.313702137180947</v>
      </c>
      <c r="U7" s="3">
        <v>712.84</v>
      </c>
      <c r="V7" s="3">
        <f>SUM(U7*0.03)</f>
        <v>21.385200000000001</v>
      </c>
    </row>
    <row r="8" spans="1:22" x14ac:dyDescent="0.2">
      <c r="A8" s="1" t="s">
        <v>7</v>
      </c>
      <c r="B8" s="3">
        <v>687146.62</v>
      </c>
      <c r="C8" s="3"/>
      <c r="D8" s="3">
        <v>127532.01</v>
      </c>
      <c r="E8" s="3"/>
      <c r="F8" s="3">
        <v>-1267.77</v>
      </c>
      <c r="G8" s="3"/>
      <c r="H8" s="3">
        <v>155120.82999999999</v>
      </c>
      <c r="I8" s="3"/>
      <c r="J8" s="3">
        <v>119100.13</v>
      </c>
      <c r="K8" s="3"/>
      <c r="L8" s="3">
        <v>517111.7</v>
      </c>
      <c r="M8" s="3"/>
      <c r="N8" s="3">
        <v>32720.82</v>
      </c>
      <c r="Q8" s="14">
        <f>SUM(B11/(SUM(B11:J11)))</f>
        <v>0.6454844866578302</v>
      </c>
      <c r="R8" s="1" t="s">
        <v>16</v>
      </c>
      <c r="S8" s="3">
        <v>238</v>
      </c>
      <c r="T8" s="3">
        <f t="shared" si="0"/>
        <v>153.62530782456358</v>
      </c>
      <c r="U8" s="3">
        <v>84.3</v>
      </c>
      <c r="V8" s="3">
        <f>SUM(U8*0.34)</f>
        <v>28.662000000000003</v>
      </c>
    </row>
    <row r="9" spans="1:22" x14ac:dyDescent="0.2">
      <c r="A9" s="5" t="s">
        <v>8</v>
      </c>
      <c r="B9" s="3">
        <v>117791.37</v>
      </c>
      <c r="C9" s="3"/>
      <c r="D9" s="3">
        <v>8066.5</v>
      </c>
      <c r="E9" s="3"/>
      <c r="F9" s="3">
        <v>2352.09</v>
      </c>
      <c r="G9" s="3"/>
      <c r="H9" s="3">
        <v>497.16</v>
      </c>
      <c r="I9" s="3"/>
      <c r="J9" s="3">
        <v>1487.98</v>
      </c>
      <c r="K9" s="3"/>
      <c r="L9" s="3">
        <v>0</v>
      </c>
      <c r="M9" s="3"/>
      <c r="N9" s="3">
        <v>-6172.76</v>
      </c>
      <c r="Q9" s="14">
        <f>SUM(D11/(SUM(B11:J11)))</f>
        <v>9.5294107944639064E-2</v>
      </c>
      <c r="R9" s="1" t="s">
        <v>17</v>
      </c>
      <c r="S9" s="3">
        <v>238</v>
      </c>
      <c r="T9" s="3">
        <f t="shared" si="0"/>
        <v>22.679997690824099</v>
      </c>
      <c r="U9" s="3">
        <v>84.3</v>
      </c>
      <c r="V9" s="3">
        <f>SUM(U9*0.63)</f>
        <v>53.109000000000002</v>
      </c>
    </row>
    <row r="10" spans="1:22" x14ac:dyDescent="0.2">
      <c r="A10" s="5" t="s">
        <v>9</v>
      </c>
      <c r="B10" s="3">
        <v>193661.27</v>
      </c>
      <c r="C10" s="3"/>
      <c r="D10" s="3">
        <v>45354.559999999998</v>
      </c>
      <c r="E10" s="3"/>
      <c r="F10" s="3">
        <v>31806.58</v>
      </c>
      <c r="G10" s="3"/>
      <c r="H10" s="3">
        <v>0</v>
      </c>
      <c r="I10" s="3"/>
      <c r="J10" s="3">
        <v>0</v>
      </c>
      <c r="K10" s="3"/>
      <c r="L10" s="3">
        <v>369540</v>
      </c>
      <c r="M10" s="3"/>
      <c r="N10" s="3">
        <v>-935.6</v>
      </c>
      <c r="Q10" s="14">
        <f>SUM(F11/(SUM(B11:J11)))</f>
        <v>-3.2441513926897779E-2</v>
      </c>
      <c r="R10" s="1" t="s">
        <v>18</v>
      </c>
      <c r="S10" s="3">
        <v>238</v>
      </c>
      <c r="T10" s="3">
        <f t="shared" si="0"/>
        <v>-7.7210803146016715</v>
      </c>
    </row>
    <row r="11" spans="1:22" x14ac:dyDescent="0.2">
      <c r="A11" s="1" t="s">
        <v>10</v>
      </c>
      <c r="B11" s="3">
        <f>SUM(B8+B9-B10)</f>
        <v>611276.72</v>
      </c>
      <c r="C11" s="3"/>
      <c r="D11" s="3">
        <f>SUM(D8+D9-D10)</f>
        <v>90243.950000000012</v>
      </c>
      <c r="E11" s="3"/>
      <c r="F11" s="3">
        <f>SUM(F8+F9-F10)</f>
        <v>-30722.260000000002</v>
      </c>
      <c r="G11" s="3"/>
      <c r="H11" s="3">
        <f>SUM(H8+H9-H10)</f>
        <v>155617.99</v>
      </c>
      <c r="I11" s="3"/>
      <c r="J11" s="3">
        <f>SUM(J8+J9-J10)</f>
        <v>120588.11</v>
      </c>
      <c r="K11" s="3"/>
      <c r="L11" s="3">
        <f>SUM(L8+L9-L10)</f>
        <v>147571.70000000001</v>
      </c>
      <c r="M11" s="3"/>
      <c r="N11" s="3">
        <f>SUM(N8+N9-N10)</f>
        <v>27483.659999999996</v>
      </c>
      <c r="Q11" s="14">
        <f>SUM(H11/(SUM(B11:J11)))</f>
        <v>0.16432655637511168</v>
      </c>
      <c r="R11" s="1" t="s">
        <v>19</v>
      </c>
      <c r="S11" s="3">
        <v>238</v>
      </c>
      <c r="T11" s="3">
        <f t="shared" si="0"/>
        <v>39.109720417276577</v>
      </c>
    </row>
    <row r="12" spans="1:22" x14ac:dyDescent="0.2">
      <c r="A12" s="4">
        <v>40787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14">
        <f>SUM(J11/(SUM(B11:J11)))</f>
        <v>0.12733636294931691</v>
      </c>
      <c r="R12" s="1" t="s">
        <v>20</v>
      </c>
      <c r="S12" s="3">
        <v>238</v>
      </c>
      <c r="T12" s="3">
        <f t="shared" si="0"/>
        <v>30.306054381937425</v>
      </c>
      <c r="U12" s="3">
        <v>84.3</v>
      </c>
      <c r="V12" s="3">
        <f>SUM(U12*0.03)</f>
        <v>2.5289999999999999</v>
      </c>
    </row>
    <row r="13" spans="1:22" x14ac:dyDescent="0.2">
      <c r="A13" s="1" t="s">
        <v>7</v>
      </c>
      <c r="B13" s="3">
        <v>611276.72</v>
      </c>
      <c r="C13" s="3"/>
      <c r="D13" s="3">
        <v>90243.95</v>
      </c>
      <c r="E13" s="3"/>
      <c r="F13" s="3">
        <v>-30722.26</v>
      </c>
      <c r="G13" s="3"/>
      <c r="H13" s="3">
        <v>155617.99</v>
      </c>
      <c r="I13" s="3"/>
      <c r="J13" s="3">
        <v>120588.11</v>
      </c>
      <c r="K13" s="3"/>
      <c r="L13" s="3">
        <v>147571.70000000001</v>
      </c>
      <c r="M13" s="3"/>
      <c r="N13" s="3">
        <v>27483.66</v>
      </c>
      <c r="Q13" s="14">
        <f>SUM(B16/(SUM(B16:J16)))</f>
        <v>0.66251357606799166</v>
      </c>
      <c r="R13" s="1" t="s">
        <v>16</v>
      </c>
      <c r="S13" s="3">
        <v>131.54</v>
      </c>
      <c r="T13" s="3">
        <f t="shared" si="0"/>
        <v>87.147035795983612</v>
      </c>
      <c r="U13" s="3">
        <v>85.7</v>
      </c>
      <c r="V13" s="3">
        <f>SUM(U13*0.34)</f>
        <v>29.138000000000002</v>
      </c>
    </row>
    <row r="14" spans="1:22" x14ac:dyDescent="0.2">
      <c r="A14" s="5" t="s">
        <v>8</v>
      </c>
      <c r="B14" s="3">
        <v>79741.460000000006</v>
      </c>
      <c r="C14" s="3"/>
      <c r="D14" s="3">
        <v>14378.48</v>
      </c>
      <c r="E14" s="3"/>
      <c r="F14" s="3">
        <v>754.64</v>
      </c>
      <c r="G14" s="3"/>
      <c r="H14" s="3">
        <v>55.37</v>
      </c>
      <c r="I14" s="3"/>
      <c r="J14" s="3">
        <v>159.84</v>
      </c>
      <c r="K14" s="3"/>
      <c r="L14" s="3">
        <v>0</v>
      </c>
      <c r="M14" s="3"/>
      <c r="N14" s="3">
        <v>16637.650000000001</v>
      </c>
      <c r="Q14" s="14">
        <f>SUM(D16/(SUM(B16:J16)))</f>
        <v>6.9607927400449174E-2</v>
      </c>
      <c r="R14" s="1" t="s">
        <v>17</v>
      </c>
      <c r="S14" s="3">
        <v>131.54</v>
      </c>
      <c r="T14" s="3">
        <f t="shared" si="0"/>
        <v>9.156226770255083</v>
      </c>
      <c r="U14" s="3">
        <v>85.7</v>
      </c>
      <c r="V14" s="3">
        <f>SUM(U14*0.63)</f>
        <v>53.991</v>
      </c>
    </row>
    <row r="15" spans="1:22" x14ac:dyDescent="0.2">
      <c r="A15" s="5" t="s">
        <v>9</v>
      </c>
      <c r="B15" s="3">
        <v>182118.46</v>
      </c>
      <c r="C15" s="3"/>
      <c r="D15" s="3">
        <v>51154.16</v>
      </c>
      <c r="E15" s="3"/>
      <c r="F15" s="3">
        <v>40686.9</v>
      </c>
      <c r="G15" s="3"/>
      <c r="H15" s="3">
        <v>0</v>
      </c>
      <c r="I15" s="3"/>
      <c r="J15" s="3">
        <v>0</v>
      </c>
      <c r="K15" s="3"/>
      <c r="L15" s="3">
        <v>14789.05</v>
      </c>
      <c r="M15" s="3"/>
      <c r="N15" s="3">
        <v>25509.27</v>
      </c>
      <c r="Q15" s="14">
        <f>SUM(F16/(SUM(B16:J16)))</f>
        <v>-9.1981930566924747E-2</v>
      </c>
      <c r="R15" s="1" t="s">
        <v>18</v>
      </c>
      <c r="S15" s="3">
        <v>131.54</v>
      </c>
      <c r="T15" s="3">
        <f t="shared" si="0"/>
        <v>-12.099303146773281</v>
      </c>
    </row>
    <row r="16" spans="1:22" x14ac:dyDescent="0.2">
      <c r="A16" s="1" t="s">
        <v>10</v>
      </c>
      <c r="B16" s="3">
        <f>SUM(B13+B14-B15)</f>
        <v>508899.72</v>
      </c>
      <c r="C16" s="3"/>
      <c r="D16" s="3">
        <f>SUM(D13+D14-D15)</f>
        <v>53468.26999999999</v>
      </c>
      <c r="E16" s="3"/>
      <c r="F16" s="3">
        <f>SUM(F13+F14-F15)</f>
        <v>-70654.52</v>
      </c>
      <c r="G16" s="3"/>
      <c r="H16" s="3">
        <f>SUM(H13+H14-H15)</f>
        <v>155673.35999999999</v>
      </c>
      <c r="I16" s="3"/>
      <c r="J16" s="3">
        <f>SUM(J13+J14-J15)</f>
        <v>120747.95</v>
      </c>
      <c r="K16" s="3"/>
      <c r="L16" s="3">
        <f>SUM(L13+L14-L15)</f>
        <v>132782.65000000002</v>
      </c>
      <c r="M16" s="3"/>
      <c r="N16" s="3">
        <f>SUM(N13+N14-N15)</f>
        <v>18612.039999999997</v>
      </c>
      <c r="Q16" s="14">
        <f>SUM(H16/(SUM(B16:J16)))</f>
        <v>0.20266412100230641</v>
      </c>
      <c r="R16" s="1" t="s">
        <v>19</v>
      </c>
      <c r="S16" s="3">
        <v>131.54</v>
      </c>
      <c r="T16" s="3">
        <f t="shared" si="0"/>
        <v>26.658438476643383</v>
      </c>
    </row>
    <row r="17" spans="1:22" x14ac:dyDescent="0.2">
      <c r="A17" s="4">
        <v>40817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>
        <f>SUM(J16/(SUM(B16:J16)))</f>
        <v>0.15719630609617757</v>
      </c>
      <c r="R17" s="1" t="s">
        <v>20</v>
      </c>
      <c r="S17" s="3">
        <v>131.54</v>
      </c>
      <c r="T17" s="3">
        <f t="shared" si="0"/>
        <v>20.677602103891196</v>
      </c>
      <c r="U17" s="3">
        <v>85.7</v>
      </c>
      <c r="V17" s="3">
        <f>SUM(U17*0.03)</f>
        <v>2.5710000000000002</v>
      </c>
    </row>
    <row r="18" spans="1:22" x14ac:dyDescent="0.2">
      <c r="A18" s="1" t="s">
        <v>7</v>
      </c>
      <c r="B18" s="3">
        <v>508899.72</v>
      </c>
      <c r="C18" s="3"/>
      <c r="D18" s="3">
        <v>53468.27</v>
      </c>
      <c r="E18" s="3"/>
      <c r="F18" s="3">
        <v>-70654.52</v>
      </c>
      <c r="G18" s="3"/>
      <c r="H18" s="3">
        <v>155673.35999999999</v>
      </c>
      <c r="I18" s="3"/>
      <c r="J18" s="3">
        <v>120747.95</v>
      </c>
      <c r="K18" s="3"/>
      <c r="L18" s="3">
        <v>132782.65</v>
      </c>
      <c r="M18" s="3"/>
      <c r="N18" s="3">
        <v>18612.04</v>
      </c>
      <c r="Q18" s="14">
        <f>SUM(B21/(SUM(B21:J21)))</f>
        <v>0.67605365739716283</v>
      </c>
      <c r="R18" s="1" t="s">
        <v>16</v>
      </c>
      <c r="S18" s="3">
        <v>84.49</v>
      </c>
      <c r="T18" s="3">
        <f t="shared" si="0"/>
        <v>57.119773513486287</v>
      </c>
      <c r="U18" s="3">
        <v>86.49</v>
      </c>
      <c r="V18" s="3">
        <f>SUM(U18*0.34)</f>
        <v>29.406600000000001</v>
      </c>
    </row>
    <row r="19" spans="1:22" x14ac:dyDescent="0.2">
      <c r="A19" s="5" t="s">
        <v>8</v>
      </c>
      <c r="B19" s="3">
        <v>246848</v>
      </c>
      <c r="C19" s="3"/>
      <c r="D19" s="3">
        <v>24452.38</v>
      </c>
      <c r="E19" s="3"/>
      <c r="F19" s="3">
        <v>11224.27</v>
      </c>
      <c r="G19" s="3"/>
      <c r="H19" s="3">
        <v>2342.7199999999998</v>
      </c>
      <c r="I19" s="3"/>
      <c r="J19" s="3">
        <v>6765.72</v>
      </c>
      <c r="K19" s="3"/>
      <c r="L19" s="3">
        <v>0</v>
      </c>
      <c r="M19" s="3"/>
      <c r="N19" s="3">
        <v>23273.51</v>
      </c>
      <c r="Q19" s="14">
        <f>SUM(D21/(SUM(B21:J21)))</f>
        <v>8.944842837251539E-2</v>
      </c>
      <c r="R19" s="1" t="s">
        <v>17</v>
      </c>
      <c r="S19" s="3">
        <v>84.49</v>
      </c>
      <c r="T19" s="3">
        <f t="shared" si="0"/>
        <v>7.5574977131938246</v>
      </c>
      <c r="U19" s="3">
        <v>86.49</v>
      </c>
      <c r="V19" s="3">
        <f>SUM(U19*0.63)</f>
        <v>54.488699999999994</v>
      </c>
    </row>
    <row r="20" spans="1:22" x14ac:dyDescent="0.2">
      <c r="A20" s="5" t="s">
        <v>9</v>
      </c>
      <c r="B20" s="3">
        <v>228118.06</v>
      </c>
      <c r="C20" s="3"/>
      <c r="D20" s="3">
        <v>8110.15</v>
      </c>
      <c r="E20" s="3"/>
      <c r="F20" s="3">
        <v>43084.36</v>
      </c>
      <c r="G20" s="3"/>
      <c r="H20" s="3">
        <v>0</v>
      </c>
      <c r="I20" s="3"/>
      <c r="J20" s="3">
        <v>0</v>
      </c>
      <c r="K20" s="3"/>
      <c r="L20" s="3">
        <v>1346.4</v>
      </c>
      <c r="M20" s="3"/>
      <c r="N20" s="3">
        <v>15542.49</v>
      </c>
      <c r="Q20" s="14">
        <f>SUM(F21/(SUM(B21:J21)))</f>
        <v>-0.13135231447592194</v>
      </c>
      <c r="R20" s="1" t="s">
        <v>18</v>
      </c>
      <c r="S20" s="3">
        <v>84.49</v>
      </c>
      <c r="T20" s="3">
        <f t="shared" si="0"/>
        <v>-11.097957050070644</v>
      </c>
    </row>
    <row r="21" spans="1:22" x14ac:dyDescent="0.2">
      <c r="A21" s="1" t="s">
        <v>10</v>
      </c>
      <c r="B21" s="3">
        <f>SUM(B18+B19-B20)</f>
        <v>527629.65999999992</v>
      </c>
      <c r="C21" s="3"/>
      <c r="D21" s="3">
        <f>SUM(D18+D19-D20)</f>
        <v>69810.5</v>
      </c>
      <c r="E21" s="3"/>
      <c r="F21" s="3">
        <f>SUM(F18+F19-F20)</f>
        <v>-102514.61</v>
      </c>
      <c r="G21" s="3"/>
      <c r="H21" s="3">
        <f>SUM(H18+H19-H20)</f>
        <v>158016.07999999999</v>
      </c>
      <c r="I21" s="3"/>
      <c r="J21" s="3">
        <f>SUM(J18+J19-J20)</f>
        <v>127513.67</v>
      </c>
      <c r="K21" s="3"/>
      <c r="L21" s="3">
        <f>SUM(L18+L19-L20)</f>
        <v>131436.25</v>
      </c>
      <c r="M21" s="3"/>
      <c r="N21" s="3">
        <f>SUM(N18+N19-N20)</f>
        <v>26343.060000000005</v>
      </c>
      <c r="Q21" s="14">
        <f>SUM(H21/(SUM(B21:J21)))</f>
        <v>0.20246653459845812</v>
      </c>
      <c r="R21" s="1" t="s">
        <v>19</v>
      </c>
      <c r="S21" s="3">
        <v>84.49</v>
      </c>
      <c r="T21" s="3">
        <f t="shared" si="0"/>
        <v>17.106397508223726</v>
      </c>
    </row>
    <row r="22" spans="1:22" x14ac:dyDescent="0.2">
      <c r="A22" s="4">
        <v>40848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14">
        <f>SUM(J21/(SUM(B21:J21)))</f>
        <v>0.16338369410778555</v>
      </c>
      <c r="R22" s="1" t="s">
        <v>20</v>
      </c>
      <c r="S22" s="3">
        <v>84.49</v>
      </c>
      <c r="T22" s="3">
        <f t="shared" si="0"/>
        <v>13.804288315166801</v>
      </c>
      <c r="U22" s="3">
        <v>86.49</v>
      </c>
      <c r="V22" s="3">
        <f>SUM(U22*0.03)</f>
        <v>2.5946999999999996</v>
      </c>
    </row>
    <row r="23" spans="1:22" x14ac:dyDescent="0.2">
      <c r="A23" s="1" t="s">
        <v>7</v>
      </c>
      <c r="B23" s="3">
        <v>527629.66</v>
      </c>
      <c r="C23" s="3"/>
      <c r="D23" s="3">
        <v>69810.5</v>
      </c>
      <c r="E23" s="3"/>
      <c r="F23" s="3">
        <v>-102514.61</v>
      </c>
      <c r="G23" s="3"/>
      <c r="H23" s="3">
        <v>158016.07999999999</v>
      </c>
      <c r="I23" s="3"/>
      <c r="J23" s="3">
        <v>127513.67</v>
      </c>
      <c r="K23" s="3"/>
      <c r="L23" s="3">
        <v>131436.25</v>
      </c>
      <c r="M23" s="3"/>
      <c r="N23" s="3">
        <v>26343.06</v>
      </c>
      <c r="Q23" s="14">
        <f>SUM(B26/(SUM(B26:J26)))</f>
        <v>0.59877138991236145</v>
      </c>
      <c r="R23" s="1" t="s">
        <v>16</v>
      </c>
      <c r="S23" s="3">
        <v>113.61</v>
      </c>
      <c r="T23" s="3">
        <f t="shared" si="0"/>
        <v>68.026417607943387</v>
      </c>
      <c r="U23" s="3">
        <v>756.17</v>
      </c>
      <c r="V23" s="3">
        <f>SUM(U23*0.34)</f>
        <v>257.09780000000001</v>
      </c>
    </row>
    <row r="24" spans="1:22" x14ac:dyDescent="0.2">
      <c r="A24" s="5" t="s">
        <v>8</v>
      </c>
      <c r="B24" s="3">
        <v>337017.44</v>
      </c>
      <c r="C24" s="3"/>
      <c r="D24" s="3">
        <v>183017.2</v>
      </c>
      <c r="E24" s="3"/>
      <c r="F24" s="3">
        <v>89276.55</v>
      </c>
      <c r="G24" s="3"/>
      <c r="H24" s="3">
        <v>18301.71</v>
      </c>
      <c r="I24" s="3"/>
      <c r="J24" s="3">
        <v>52837.07</v>
      </c>
      <c r="K24" s="3"/>
      <c r="L24" s="3">
        <v>0</v>
      </c>
      <c r="M24" s="3"/>
      <c r="N24" s="3">
        <v>18596.09</v>
      </c>
      <c r="Q24" s="14">
        <f>SUM(D26/(SUM(B26:J26)))</f>
        <v>0.1310744564282737</v>
      </c>
      <c r="R24" s="1" t="s">
        <v>17</v>
      </c>
      <c r="S24" s="3">
        <v>113.61</v>
      </c>
      <c r="T24" s="3">
        <f t="shared" si="0"/>
        <v>14.891368994816174</v>
      </c>
      <c r="U24" s="3">
        <v>756.17</v>
      </c>
      <c r="V24" s="3">
        <f>SUM(U24*0.63)</f>
        <v>476.38709999999998</v>
      </c>
    </row>
    <row r="25" spans="1:22" x14ac:dyDescent="0.2">
      <c r="A25" s="5" t="s">
        <v>9</v>
      </c>
      <c r="B25" s="3">
        <v>195149.57</v>
      </c>
      <c r="C25" s="3"/>
      <c r="D25" s="3">
        <v>106270.89</v>
      </c>
      <c r="E25" s="3"/>
      <c r="F25" s="3">
        <v>38624.230000000003</v>
      </c>
      <c r="G25" s="3"/>
      <c r="H25" s="3">
        <v>0</v>
      </c>
      <c r="I25" s="3"/>
      <c r="J25" s="3">
        <v>2741.81</v>
      </c>
      <c r="K25" s="3"/>
      <c r="L25" s="3">
        <v>126606.12</v>
      </c>
      <c r="M25" s="3"/>
      <c r="N25" s="3">
        <v>15625.76</v>
      </c>
      <c r="Q25" s="14">
        <f>SUM(F26/(SUM(B26:J26)))</f>
        <v>-4.6383525070418055E-2</v>
      </c>
      <c r="R25" s="1" t="s">
        <v>18</v>
      </c>
      <c r="S25" s="3">
        <v>113.61</v>
      </c>
      <c r="T25" s="3">
        <f t="shared" si="0"/>
        <v>-5.2696322832501954</v>
      </c>
    </row>
    <row r="26" spans="1:22" x14ac:dyDescent="0.2">
      <c r="A26" s="1" t="s">
        <v>10</v>
      </c>
      <c r="B26" s="3">
        <f>SUM(B23+B24-B25)</f>
        <v>669497.53</v>
      </c>
      <c r="C26" s="3"/>
      <c r="D26" s="3">
        <f>SUM(D23+D24-D25)</f>
        <v>146556.81</v>
      </c>
      <c r="E26" s="3"/>
      <c r="F26" s="3">
        <f>SUM(F23+F24-F25)</f>
        <v>-51862.29</v>
      </c>
      <c r="G26" s="3"/>
      <c r="H26" s="3">
        <f>SUM(H23+H24-H25)</f>
        <v>176317.78999999998</v>
      </c>
      <c r="I26" s="3"/>
      <c r="J26" s="3">
        <f>SUM(J23+J24-J25)</f>
        <v>177608.93</v>
      </c>
      <c r="K26" s="3"/>
      <c r="L26" s="3">
        <f>SUM(L23+L24-L25)</f>
        <v>4830.1300000000047</v>
      </c>
      <c r="M26" s="3"/>
      <c r="N26" s="3">
        <f>SUM(N23+N24-N25)</f>
        <v>29313.39</v>
      </c>
      <c r="Q26" s="14">
        <f>SUM(H26/(SUM(B26:J26)))</f>
        <v>0.15769146778566284</v>
      </c>
      <c r="R26" s="1" t="s">
        <v>19</v>
      </c>
      <c r="S26" s="3">
        <v>113.61</v>
      </c>
      <c r="T26" s="3">
        <f t="shared" si="0"/>
        <v>17.915327655129154</v>
      </c>
    </row>
    <row r="27" spans="1:22" x14ac:dyDescent="0.2">
      <c r="A27" s="4">
        <v>40878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4">
        <f>SUM(J26/(SUM(B26:J26)))</f>
        <v>0.15884621094411999</v>
      </c>
      <c r="R27" s="1" t="s">
        <v>20</v>
      </c>
      <c r="S27" s="3">
        <v>113.61</v>
      </c>
      <c r="T27" s="3">
        <f t="shared" si="0"/>
        <v>18.046518025361472</v>
      </c>
      <c r="U27" s="3">
        <v>756.17</v>
      </c>
      <c r="V27" s="3">
        <f>SUM(U27*0.03)</f>
        <v>22.685099999999998</v>
      </c>
    </row>
    <row r="28" spans="1:22" x14ac:dyDescent="0.2">
      <c r="A28" s="1" t="s">
        <v>7</v>
      </c>
      <c r="B28" s="3">
        <v>669497.53</v>
      </c>
      <c r="C28" s="3"/>
      <c r="D28" s="3">
        <v>146556.81</v>
      </c>
      <c r="E28" s="3"/>
      <c r="F28" s="3">
        <v>-51862.29</v>
      </c>
      <c r="G28" s="3"/>
      <c r="H28" s="3">
        <v>176317.79</v>
      </c>
      <c r="I28" s="3"/>
      <c r="J28" s="3">
        <v>177608.93</v>
      </c>
      <c r="K28" s="3"/>
      <c r="L28" s="3">
        <v>4830.13</v>
      </c>
      <c r="M28" s="3"/>
      <c r="N28" s="3">
        <v>29313.39</v>
      </c>
      <c r="Q28" s="14">
        <f>SUM(B31/(SUM(B31:J31)))</f>
        <v>0.54603460909427282</v>
      </c>
      <c r="R28" s="1" t="s">
        <v>16</v>
      </c>
      <c r="S28" s="3">
        <v>134.16</v>
      </c>
      <c r="T28" s="3">
        <f t="shared" si="0"/>
        <v>73.256003156087644</v>
      </c>
      <c r="U28" s="3">
        <v>1190.75</v>
      </c>
      <c r="V28" s="3">
        <f>SUM(U28*0.34)</f>
        <v>404.85500000000002</v>
      </c>
    </row>
    <row r="29" spans="1:22" x14ac:dyDescent="0.2">
      <c r="A29" s="5" t="s">
        <v>8</v>
      </c>
      <c r="B29" s="3">
        <v>114784.07</v>
      </c>
      <c r="C29" s="3"/>
      <c r="D29" s="3">
        <v>64282.29</v>
      </c>
      <c r="E29" s="3"/>
      <c r="F29" s="3">
        <v>15448.7</v>
      </c>
      <c r="G29" s="3"/>
      <c r="H29" s="3">
        <v>2899.66</v>
      </c>
      <c r="I29" s="3"/>
      <c r="J29" s="3">
        <v>8370.35</v>
      </c>
      <c r="K29" s="3"/>
      <c r="L29" s="3">
        <v>0</v>
      </c>
      <c r="M29" s="3"/>
      <c r="N29" s="3">
        <v>16974.71</v>
      </c>
      <c r="Q29" s="14">
        <f>SUM(D31/(SUM(B31:J31)))</f>
        <v>0.19095830364018904</v>
      </c>
      <c r="R29" s="1" t="s">
        <v>17</v>
      </c>
      <c r="S29" s="3">
        <v>134.16</v>
      </c>
      <c r="T29" s="3">
        <f t="shared" si="0"/>
        <v>25.618966016367761</v>
      </c>
      <c r="U29" s="3">
        <v>1190.75</v>
      </c>
      <c r="V29" s="3">
        <f>SUM(U29*0.63)</f>
        <v>750.17250000000001</v>
      </c>
    </row>
    <row r="30" spans="1:22" x14ac:dyDescent="0.2">
      <c r="A30" s="5" t="s">
        <v>9</v>
      </c>
      <c r="B30" s="3">
        <v>186968.16</v>
      </c>
      <c r="C30" s="3"/>
      <c r="D30" s="3">
        <v>1947.65</v>
      </c>
      <c r="E30" s="3"/>
      <c r="F30" s="3">
        <v>36576.71</v>
      </c>
      <c r="G30" s="3"/>
      <c r="H30" s="3">
        <v>4500</v>
      </c>
      <c r="I30" s="3"/>
      <c r="J30" s="3">
        <v>0</v>
      </c>
      <c r="K30" s="3"/>
      <c r="L30" s="3">
        <v>0</v>
      </c>
      <c r="M30" s="3"/>
      <c r="N30" s="3">
        <v>15016.19</v>
      </c>
      <c r="Q30" s="14">
        <f>SUM(F31/(SUM(B31:J31)))</f>
        <v>-6.6724147255373484E-2</v>
      </c>
      <c r="R30" s="1" t="s">
        <v>18</v>
      </c>
      <c r="S30" s="3">
        <v>134.16</v>
      </c>
      <c r="T30" s="3">
        <f t="shared" si="0"/>
        <v>-8.9517115957809068</v>
      </c>
    </row>
    <row r="31" spans="1:22" x14ac:dyDescent="0.2">
      <c r="A31" s="1" t="s">
        <v>10</v>
      </c>
      <c r="B31" s="3">
        <f>SUM(B28+B29-B30)</f>
        <v>597313.44000000006</v>
      </c>
      <c r="C31" s="3"/>
      <c r="D31" s="3">
        <f>SUM(D28+D29-D30)</f>
        <v>208891.45</v>
      </c>
      <c r="E31" s="3"/>
      <c r="F31" s="3">
        <f>SUM(F28+F29-F30)</f>
        <v>-72990.299999999988</v>
      </c>
      <c r="G31" s="3"/>
      <c r="H31" s="3">
        <f>SUM(H28+H29-H30)</f>
        <v>174717.45</v>
      </c>
      <c r="I31" s="3"/>
      <c r="J31" s="3">
        <f>SUM(J28+J29-J30)</f>
        <v>185979.28</v>
      </c>
      <c r="K31" s="3"/>
      <c r="L31" s="3">
        <f>SUM(L28+L29-L30)</f>
        <v>4830.13</v>
      </c>
      <c r="M31" s="3"/>
      <c r="N31" s="3">
        <f>SUM(N28+N29-N30)</f>
        <v>31271.909999999996</v>
      </c>
      <c r="Q31" s="14">
        <f>SUM(H31/(SUM(B31:J31)))</f>
        <v>0.15971811133648384</v>
      </c>
      <c r="R31" s="1" t="s">
        <v>19</v>
      </c>
      <c r="S31" s="3">
        <v>134.16</v>
      </c>
      <c r="T31" s="3">
        <f t="shared" si="0"/>
        <v>21.427781816902669</v>
      </c>
    </row>
    <row r="32" spans="1:22" x14ac:dyDescent="0.2">
      <c r="A32" s="4">
        <v>40909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14">
        <f>SUM(J31/(SUM(B31:J31)))</f>
        <v>0.17001312318442777</v>
      </c>
      <c r="R32" s="1" t="s">
        <v>20</v>
      </c>
      <c r="S32" s="3">
        <v>134.16</v>
      </c>
      <c r="T32" s="3">
        <f t="shared" si="0"/>
        <v>22.808960606422829</v>
      </c>
      <c r="U32" s="3">
        <v>1190.75</v>
      </c>
      <c r="V32" s="3">
        <f>SUM(U32*0.03)</f>
        <v>35.722499999999997</v>
      </c>
    </row>
    <row r="33" spans="1:22" x14ac:dyDescent="0.2">
      <c r="A33" s="1" t="s">
        <v>7</v>
      </c>
      <c r="B33" s="3">
        <v>597313.43999999994</v>
      </c>
      <c r="C33" s="3"/>
      <c r="D33" s="3">
        <v>208891.45</v>
      </c>
      <c r="E33" s="3"/>
      <c r="F33" s="3">
        <v>-72990.3</v>
      </c>
      <c r="G33" s="3"/>
      <c r="H33" s="3">
        <v>174717.45</v>
      </c>
      <c r="I33" s="3"/>
      <c r="J33" s="3">
        <v>185979.28</v>
      </c>
      <c r="K33" s="3"/>
      <c r="L33" s="3">
        <v>4830.13</v>
      </c>
      <c r="M33" s="3"/>
      <c r="N33" s="3">
        <v>31271.91</v>
      </c>
      <c r="Q33" s="14">
        <f>SUM(B36/(SUM(B36:J36)))</f>
        <v>0.58024435751506842</v>
      </c>
      <c r="R33" s="1" t="s">
        <v>16</v>
      </c>
      <c r="S33" s="3">
        <v>101.74</v>
      </c>
      <c r="T33" s="3">
        <f t="shared" si="0"/>
        <v>59.034060933583056</v>
      </c>
      <c r="U33" s="3">
        <v>724.66</v>
      </c>
      <c r="V33" s="3">
        <f>SUM(U33*0.34)</f>
        <v>246.3844</v>
      </c>
    </row>
    <row r="34" spans="1:22" x14ac:dyDescent="0.2">
      <c r="A34" s="5" t="s">
        <v>8</v>
      </c>
      <c r="B34" s="3">
        <v>125540.06</v>
      </c>
      <c r="C34" s="3"/>
      <c r="D34" s="3">
        <v>52565.22</v>
      </c>
      <c r="E34" s="3"/>
      <c r="F34" s="3">
        <v>2800.9</v>
      </c>
      <c r="G34" s="3"/>
      <c r="H34" s="3">
        <v>590.98</v>
      </c>
      <c r="I34" s="3"/>
      <c r="J34" s="3">
        <v>1729.94</v>
      </c>
      <c r="K34" s="3"/>
      <c r="L34" s="3">
        <v>0</v>
      </c>
      <c r="M34" s="3"/>
      <c r="N34" s="3">
        <v>18435.259999999998</v>
      </c>
      <c r="Q34" s="14">
        <f>SUM(D36/(SUM(B36:J36)))</f>
        <v>0.14265162674365009</v>
      </c>
      <c r="R34" s="1" t="s">
        <v>17</v>
      </c>
      <c r="S34" s="3">
        <v>101.74</v>
      </c>
      <c r="T34" s="3">
        <f t="shared" si="0"/>
        <v>14.513376504898959</v>
      </c>
      <c r="U34" s="3">
        <v>724.66</v>
      </c>
      <c r="V34" s="3">
        <f>SUM(U34*0.63)</f>
        <v>456.53579999999999</v>
      </c>
    </row>
    <row r="35" spans="1:22" x14ac:dyDescent="0.2">
      <c r="A35" s="5" t="s">
        <v>9</v>
      </c>
      <c r="B35" s="3">
        <v>190228.12</v>
      </c>
      <c r="C35" s="3"/>
      <c r="D35" s="3">
        <v>130512.05</v>
      </c>
      <c r="E35" s="3"/>
      <c r="F35" s="3">
        <v>38465.360000000001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13288.3</v>
      </c>
      <c r="Q35" s="14">
        <f>SUM(F36/(SUM(B36:J36)))</f>
        <v>-0.11836895832330402</v>
      </c>
      <c r="R35" s="1" t="s">
        <v>18</v>
      </c>
      <c r="S35" s="3">
        <v>101.74</v>
      </c>
      <c r="T35" s="3">
        <f t="shared" si="0"/>
        <v>-12.04285781981295</v>
      </c>
    </row>
    <row r="36" spans="1:22" x14ac:dyDescent="0.2">
      <c r="A36" s="1" t="s">
        <v>10</v>
      </c>
      <c r="B36" s="3">
        <f>SUM(B33+B34-B35)</f>
        <v>532625.38</v>
      </c>
      <c r="C36" s="3"/>
      <c r="D36" s="3">
        <f>SUM(D33+D34-D35)</f>
        <v>130944.62000000001</v>
      </c>
      <c r="E36" s="3"/>
      <c r="F36" s="3">
        <f>SUM(F33+F34-F35)</f>
        <v>-108654.76000000001</v>
      </c>
      <c r="G36" s="3"/>
      <c r="H36" s="3">
        <f>SUM(H33+H34-H35)</f>
        <v>175308.43000000002</v>
      </c>
      <c r="I36" s="3"/>
      <c r="J36" s="3">
        <f>SUM(J33+J34-J35)</f>
        <v>187709.22</v>
      </c>
      <c r="K36" s="3"/>
      <c r="L36" s="3">
        <f>SUM(L33+L34-L35)</f>
        <v>4830.13</v>
      </c>
      <c r="M36" s="3"/>
      <c r="N36" s="3">
        <f>SUM(N33+N34-N35)</f>
        <v>36418.869999999995</v>
      </c>
      <c r="Q36" s="14">
        <f>SUM(H36/(SUM(B36:J36)))</f>
        <v>0.19098175031074441</v>
      </c>
      <c r="R36" s="1" t="s">
        <v>19</v>
      </c>
      <c r="S36" s="3">
        <v>101.74</v>
      </c>
      <c r="T36" s="3">
        <f t="shared" si="0"/>
        <v>19.430483276615135</v>
      </c>
    </row>
    <row r="37" spans="1:22" x14ac:dyDescent="0.2">
      <c r="A37" s="4">
        <v>40940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4">
        <f>SUM(J36/(SUM(B36:J36)))</f>
        <v>0.2044912237538411</v>
      </c>
      <c r="R37" s="1" t="s">
        <v>20</v>
      </c>
      <c r="S37" s="3">
        <v>101.74</v>
      </c>
      <c r="T37" s="3">
        <f t="shared" si="0"/>
        <v>20.804937104715794</v>
      </c>
      <c r="U37" s="3">
        <v>724.66</v>
      </c>
      <c r="V37" s="3">
        <f>SUM(U37*0.03)</f>
        <v>21.739799999999999</v>
      </c>
    </row>
    <row r="38" spans="1:22" x14ac:dyDescent="0.2">
      <c r="A38" s="1" t="s">
        <v>7</v>
      </c>
      <c r="B38" s="3">
        <v>532625.38</v>
      </c>
      <c r="C38" s="3"/>
      <c r="D38" s="3">
        <v>130944.62</v>
      </c>
      <c r="E38" s="3"/>
      <c r="F38" s="3">
        <v>-108654.76</v>
      </c>
      <c r="G38" s="3"/>
      <c r="H38" s="3">
        <v>175308.43</v>
      </c>
      <c r="I38" s="3"/>
      <c r="J38" s="3">
        <v>187709.22</v>
      </c>
      <c r="K38" s="3"/>
      <c r="L38" s="3">
        <v>4830.13</v>
      </c>
      <c r="M38" s="3"/>
      <c r="N38" s="3">
        <v>36418.870000000003</v>
      </c>
      <c r="Q38" s="14">
        <f>SUM(B41/(SUM(B41:J41)))</f>
        <v>0.49889528540463668</v>
      </c>
      <c r="R38" s="1" t="s">
        <v>16</v>
      </c>
      <c r="S38" s="3">
        <v>81.61</v>
      </c>
      <c r="T38" s="3">
        <f t="shared" si="0"/>
        <v>40.714844241872399</v>
      </c>
      <c r="U38" s="3">
        <v>85.7</v>
      </c>
      <c r="V38" s="3">
        <f>SUM(U38*0.34)</f>
        <v>29.138000000000002</v>
      </c>
    </row>
    <row r="39" spans="1:22" x14ac:dyDescent="0.2">
      <c r="A39" s="5" t="s">
        <v>8</v>
      </c>
      <c r="B39" s="3">
        <v>104780.13</v>
      </c>
      <c r="C39" s="3"/>
      <c r="D39" s="3">
        <v>15477.74</v>
      </c>
      <c r="E39" s="3"/>
      <c r="F39" s="3">
        <v>57153.49</v>
      </c>
      <c r="G39" s="3"/>
      <c r="H39" s="3">
        <v>1547.75</v>
      </c>
      <c r="I39" s="3"/>
      <c r="J39" s="3">
        <v>3122.81</v>
      </c>
      <c r="K39" s="3"/>
      <c r="L39" s="3">
        <v>0</v>
      </c>
      <c r="M39" s="3"/>
      <c r="N39" s="3">
        <v>16846.310000000001</v>
      </c>
      <c r="Q39" s="14">
        <f>SUM(D41/(SUM(B41:J41)))</f>
        <v>0.17118148972460953</v>
      </c>
      <c r="R39" s="1" t="s">
        <v>17</v>
      </c>
      <c r="S39" s="3">
        <v>81.61</v>
      </c>
      <c r="T39" s="3">
        <f t="shared" si="0"/>
        <v>13.970121376425384</v>
      </c>
      <c r="U39" s="3">
        <v>85.7</v>
      </c>
      <c r="V39" s="3">
        <f>SUM(U39*0.63)</f>
        <v>53.991</v>
      </c>
    </row>
    <row r="40" spans="1:22" x14ac:dyDescent="0.2">
      <c r="A40" s="5" t="s">
        <v>9</v>
      </c>
      <c r="B40" s="3">
        <v>215285.25</v>
      </c>
      <c r="C40" s="3"/>
      <c r="D40" s="3">
        <v>1584</v>
      </c>
      <c r="E40" s="3"/>
      <c r="F40" s="3">
        <v>37035.620000000003</v>
      </c>
      <c r="G40" s="3"/>
      <c r="H40" s="3">
        <v>0</v>
      </c>
      <c r="I40" s="3"/>
      <c r="J40" s="3">
        <v>0</v>
      </c>
      <c r="K40" s="3"/>
      <c r="L40" s="3">
        <v>0</v>
      </c>
      <c r="M40" s="3"/>
      <c r="N40" s="3">
        <v>14384.08</v>
      </c>
      <c r="Q40" s="14">
        <f>SUM(F41/(SUM(B41:J41)))</f>
        <v>-0.10463993603479001</v>
      </c>
      <c r="R40" s="1" t="s">
        <v>18</v>
      </c>
      <c r="S40" s="3">
        <v>81.61</v>
      </c>
      <c r="T40" s="3">
        <f t="shared" si="0"/>
        <v>-8.5396651797992131</v>
      </c>
    </row>
    <row r="41" spans="1:22" x14ac:dyDescent="0.2">
      <c r="A41" s="1" t="s">
        <v>10</v>
      </c>
      <c r="B41" s="3">
        <f>SUM(B38+B39-B40)</f>
        <v>422120.26</v>
      </c>
      <c r="C41" s="3"/>
      <c r="D41" s="3">
        <f>SUM(D38+D39-D40)</f>
        <v>144838.35999999999</v>
      </c>
      <c r="E41" s="3"/>
      <c r="F41" s="3">
        <f>SUM(F38+F39-F40)</f>
        <v>-88536.89</v>
      </c>
      <c r="G41" s="3"/>
      <c r="H41" s="3">
        <f>SUM(H38+H39-H40)</f>
        <v>176856.18</v>
      </c>
      <c r="I41" s="3"/>
      <c r="J41" s="3">
        <f>SUM(J38+J39-J40)</f>
        <v>190832.03</v>
      </c>
      <c r="K41" s="3"/>
      <c r="L41" s="3">
        <f>SUM(L38+L39-L40)</f>
        <v>4830.13</v>
      </c>
      <c r="M41" s="3"/>
      <c r="N41" s="3">
        <f>SUM(N38+N39-N40)</f>
        <v>38881.100000000006</v>
      </c>
      <c r="Q41" s="14">
        <f>SUM(H41/(SUM(B41:J41)))</f>
        <v>0.2090226950885366</v>
      </c>
      <c r="R41" s="1" t="s">
        <v>19</v>
      </c>
      <c r="S41" s="3">
        <v>81.61</v>
      </c>
      <c r="T41" s="3">
        <f t="shared" si="0"/>
        <v>17.058342146175473</v>
      </c>
    </row>
    <row r="42" spans="1:22" x14ac:dyDescent="0.2">
      <c r="A42" s="4">
        <v>40969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4">
        <f>SUM(J41/(SUM(B41:J41)))</f>
        <v>0.22554046581700721</v>
      </c>
      <c r="R42" s="1" t="s">
        <v>20</v>
      </c>
      <c r="S42" s="3">
        <v>81.61</v>
      </c>
      <c r="T42" s="3">
        <f t="shared" si="0"/>
        <v>18.406357415325957</v>
      </c>
      <c r="U42" s="3">
        <v>85.7</v>
      </c>
      <c r="V42" s="3">
        <f>SUM(U42*0.03)</f>
        <v>2.5710000000000002</v>
      </c>
    </row>
    <row r="43" spans="1:22" x14ac:dyDescent="0.2">
      <c r="A43" s="1" t="s">
        <v>7</v>
      </c>
      <c r="B43" s="3">
        <v>422120.26</v>
      </c>
      <c r="C43" s="3"/>
      <c r="D43" s="3">
        <v>144838.35999999999</v>
      </c>
      <c r="E43" s="3"/>
      <c r="F43" s="3">
        <v>-88536.89</v>
      </c>
      <c r="G43" s="3"/>
      <c r="H43" s="3">
        <v>176856.18</v>
      </c>
      <c r="I43" s="3"/>
      <c r="J43" s="3">
        <v>190832.03</v>
      </c>
      <c r="K43" s="3"/>
      <c r="L43" s="3">
        <v>4830.13</v>
      </c>
      <c r="M43" s="3"/>
      <c r="N43" s="3">
        <v>38881.1</v>
      </c>
      <c r="Q43" s="14">
        <f>SUM(B46/(SUM(B46:J46)))</f>
        <v>0.41770023399314354</v>
      </c>
      <c r="R43" s="1" t="s">
        <v>16</v>
      </c>
      <c r="S43" s="3">
        <v>65.89</v>
      </c>
      <c r="T43" s="3">
        <f t="shared" si="0"/>
        <v>27.522268417808228</v>
      </c>
      <c r="U43" s="3">
        <v>84.77</v>
      </c>
      <c r="V43" s="3">
        <f>SUM(U43*0.34)</f>
        <v>28.8218</v>
      </c>
    </row>
    <row r="44" spans="1:22" x14ac:dyDescent="0.2">
      <c r="A44" s="5" t="s">
        <v>8</v>
      </c>
      <c r="B44" s="3">
        <v>45033.84</v>
      </c>
      <c r="C44" s="3"/>
      <c r="D44" s="3">
        <v>11472.81</v>
      </c>
      <c r="E44" s="3"/>
      <c r="F44" s="3">
        <v>5929.31</v>
      </c>
      <c r="G44" s="3"/>
      <c r="H44" s="3">
        <v>1147.29</v>
      </c>
      <c r="I44" s="3"/>
      <c r="J44" s="3">
        <v>2329.77</v>
      </c>
      <c r="K44" s="3"/>
      <c r="L44" s="3">
        <v>0</v>
      </c>
      <c r="M44" s="3"/>
      <c r="N44" s="3">
        <v>17333.79</v>
      </c>
      <c r="Q44" s="14">
        <f>SUM(D46/(SUM(B46:J46)))</f>
        <v>0.20295484329729394</v>
      </c>
      <c r="R44" s="1" t="s">
        <v>17</v>
      </c>
      <c r="S44" s="3">
        <v>65.89</v>
      </c>
      <c r="T44" s="3">
        <f t="shared" si="0"/>
        <v>13.372694624858697</v>
      </c>
      <c r="U44" s="3">
        <v>84.77</v>
      </c>
      <c r="V44" s="3">
        <f>SUM(U44*0.63)</f>
        <v>53.405099999999997</v>
      </c>
    </row>
    <row r="45" spans="1:22" x14ac:dyDescent="0.2">
      <c r="A45" s="5" t="s">
        <v>9</v>
      </c>
      <c r="B45" s="3">
        <v>191138.98</v>
      </c>
      <c r="C45" s="3"/>
      <c r="D45" s="3">
        <v>22199.19</v>
      </c>
      <c r="E45" s="3"/>
      <c r="F45" s="3">
        <v>37887.65</v>
      </c>
      <c r="G45" s="3"/>
      <c r="H45" s="3">
        <v>0</v>
      </c>
      <c r="I45" s="3"/>
      <c r="J45" s="3">
        <v>0</v>
      </c>
      <c r="K45" s="3"/>
      <c r="L45" s="3">
        <v>4320</v>
      </c>
      <c r="M45" s="3"/>
      <c r="N45" s="3">
        <v>17514.099999999999</v>
      </c>
      <c r="Q45" s="14">
        <f>SUM(F46/(SUM(B46:J46)))</f>
        <v>-0.18234829224593804</v>
      </c>
      <c r="R45" s="1" t="s">
        <v>18</v>
      </c>
      <c r="S45" s="3">
        <v>65.89</v>
      </c>
      <c r="T45" s="3">
        <f t="shared" si="0"/>
        <v>-12.014928976084859</v>
      </c>
    </row>
    <row r="46" spans="1:22" x14ac:dyDescent="0.2">
      <c r="A46" s="1" t="s">
        <v>10</v>
      </c>
      <c r="B46" s="3">
        <f>SUM(B43+B44-B45)</f>
        <v>276015.12</v>
      </c>
      <c r="C46" s="3"/>
      <c r="D46" s="3">
        <f>SUM(D43+D44-D45)</f>
        <v>134111.97999999998</v>
      </c>
      <c r="E46" s="3"/>
      <c r="F46" s="3">
        <f>SUM(F43+F44-F45)</f>
        <v>-120495.23000000001</v>
      </c>
      <c r="G46" s="3"/>
      <c r="H46" s="3">
        <f>SUM(H43+H44-H45)</f>
        <v>178003.47</v>
      </c>
      <c r="I46" s="3"/>
      <c r="J46" s="3">
        <f>SUM(J43+J44-J45)</f>
        <v>193161.8</v>
      </c>
      <c r="K46" s="3"/>
      <c r="L46" s="3">
        <f>SUM(L43+L44-L45)</f>
        <v>510.13000000000011</v>
      </c>
      <c r="M46" s="3"/>
      <c r="N46" s="3">
        <f>SUM(N43+N44-N45)</f>
        <v>38700.79</v>
      </c>
      <c r="Q46" s="14">
        <f>SUM(H46/(SUM(B46:J46)))</f>
        <v>0.26937687714568503</v>
      </c>
      <c r="R46" s="1" t="s">
        <v>19</v>
      </c>
      <c r="S46" s="3">
        <v>65.89</v>
      </c>
      <c r="T46" s="3">
        <f t="shared" si="0"/>
        <v>17.749242435129187</v>
      </c>
    </row>
    <row r="47" spans="1:22" x14ac:dyDescent="0.2">
      <c r="A47" s="4">
        <v>41000</v>
      </c>
      <c r="B47" s="2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4">
        <f>SUM(J46/(SUM(B46:J46)))</f>
        <v>0.29231633780981559</v>
      </c>
      <c r="R47" s="1" t="s">
        <v>20</v>
      </c>
      <c r="S47" s="3">
        <v>65.89</v>
      </c>
      <c r="T47" s="3">
        <f t="shared" si="0"/>
        <v>19.260723498288748</v>
      </c>
      <c r="U47" s="3">
        <v>84.77</v>
      </c>
      <c r="V47" s="3">
        <f>SUM(U47*0.03)</f>
        <v>2.5430999999999999</v>
      </c>
    </row>
    <row r="48" spans="1:22" x14ac:dyDescent="0.2">
      <c r="A48" s="1" t="s">
        <v>7</v>
      </c>
      <c r="B48" s="3">
        <v>276047.92</v>
      </c>
      <c r="C48" s="3"/>
      <c r="D48" s="3">
        <v>134111.98000000001</v>
      </c>
      <c r="E48" s="3"/>
      <c r="F48" s="3">
        <v>-120495.23</v>
      </c>
      <c r="G48" s="3"/>
      <c r="H48" s="3">
        <v>178003.47</v>
      </c>
      <c r="I48" s="3"/>
      <c r="J48" s="3">
        <v>193161.8</v>
      </c>
      <c r="K48" s="3"/>
      <c r="L48" s="3">
        <v>510.13</v>
      </c>
      <c r="M48" s="3"/>
      <c r="N48" s="3">
        <v>38700.79</v>
      </c>
      <c r="Q48" s="14">
        <f>SUM(B52/(SUM(B52:J52)))</f>
        <v>0.3724618507712531</v>
      </c>
      <c r="R48" s="1" t="s">
        <v>16</v>
      </c>
      <c r="S48" s="3">
        <v>39.090000000000003</v>
      </c>
      <c r="T48" s="3">
        <f t="shared" si="0"/>
        <v>14.559533746648285</v>
      </c>
      <c r="U48" s="3">
        <v>56.4</v>
      </c>
      <c r="V48" s="3">
        <f>SUM(U48*0.34)</f>
        <v>19.176000000000002</v>
      </c>
    </row>
    <row r="49" spans="1:22" x14ac:dyDescent="0.2">
      <c r="A49" s="5" t="s">
        <v>8</v>
      </c>
      <c r="B49" s="3">
        <v>149321.60999999999</v>
      </c>
      <c r="C49" s="3"/>
      <c r="D49" s="3">
        <v>18442.310000000001</v>
      </c>
      <c r="E49" s="3"/>
      <c r="F49" s="3">
        <v>11464.13</v>
      </c>
      <c r="G49" s="3"/>
      <c r="H49" s="3">
        <v>1844.21</v>
      </c>
      <c r="I49" s="3"/>
      <c r="J49" s="3">
        <v>3741.03</v>
      </c>
      <c r="K49" s="3"/>
      <c r="L49" s="3">
        <v>0</v>
      </c>
      <c r="M49" s="3"/>
      <c r="N49" s="3">
        <v>18864.38</v>
      </c>
      <c r="Q49" s="14">
        <f>SUM(D52/(SUM(B52:J52)))</f>
        <v>0.23802111686159633</v>
      </c>
      <c r="R49" s="1" t="s">
        <v>17</v>
      </c>
      <c r="S49" s="3">
        <v>39.090000000000003</v>
      </c>
      <c r="T49" s="3">
        <f t="shared" si="0"/>
        <v>9.3042454581198015</v>
      </c>
      <c r="U49" s="3">
        <v>56.4</v>
      </c>
      <c r="V49" s="3">
        <f>SUM(U49*0.63)</f>
        <v>35.531999999999996</v>
      </c>
    </row>
    <row r="50" spans="1:22" x14ac:dyDescent="0.2">
      <c r="A50" s="5" t="s">
        <v>9</v>
      </c>
      <c r="B50" s="3">
        <v>200498.6</v>
      </c>
      <c r="C50" s="3"/>
      <c r="D50" s="3">
        <v>11501.31</v>
      </c>
      <c r="E50" s="3"/>
      <c r="F50" s="3">
        <v>36888.89</v>
      </c>
      <c r="G50" s="3"/>
      <c r="H50" s="3">
        <v>0</v>
      </c>
      <c r="I50" s="3"/>
      <c r="J50" s="3">
        <v>0</v>
      </c>
      <c r="K50" s="3"/>
      <c r="L50" s="3">
        <v>510.13</v>
      </c>
      <c r="M50" s="3"/>
      <c r="N50" s="3">
        <v>16396.91</v>
      </c>
      <c r="Q50" s="14">
        <f>SUM(F52/(SUM(B52:J52)))</f>
        <v>-0.2462339965609586</v>
      </c>
      <c r="R50" s="1" t="s">
        <v>18</v>
      </c>
      <c r="S50" s="3">
        <v>39.090000000000003</v>
      </c>
      <c r="T50" s="3">
        <f t="shared" si="0"/>
        <v>-9.6252869255678721</v>
      </c>
    </row>
    <row r="51" spans="1:22" x14ac:dyDescent="0.2">
      <c r="A51" s="1" t="s">
        <v>36</v>
      </c>
      <c r="B51" s="3">
        <v>-4147.43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4"/>
      <c r="R51" s="1"/>
      <c r="S51" s="7" t="s">
        <v>11</v>
      </c>
      <c r="T51" s="3"/>
    </row>
    <row r="52" spans="1:22" x14ac:dyDescent="0.2">
      <c r="A52" s="1" t="s">
        <v>10</v>
      </c>
      <c r="B52" s="3">
        <f>SUM(B48+B49-B50+B51)</f>
        <v>220723.49999999997</v>
      </c>
      <c r="C52" s="3"/>
      <c r="D52" s="3">
        <f>SUM(D48+D49-D50)</f>
        <v>141052.98000000001</v>
      </c>
      <c r="E52" s="3"/>
      <c r="F52" s="3">
        <f>SUM(F48+F49-F50)</f>
        <v>-145919.99</v>
      </c>
      <c r="G52" s="3"/>
      <c r="H52" s="3">
        <f>SUM(H48+H49-H50)</f>
        <v>179847.67999999999</v>
      </c>
      <c r="I52" s="3"/>
      <c r="J52" s="3">
        <f>SUM(J48+J49-J50)</f>
        <v>196902.83</v>
      </c>
      <c r="K52" s="3"/>
      <c r="L52" s="3">
        <f>SUM(L48+L49-L50)</f>
        <v>0</v>
      </c>
      <c r="M52" s="3"/>
      <c r="N52" s="3">
        <f>SUM(N48+N49-N50)</f>
        <v>41168.259999999995</v>
      </c>
      <c r="Q52" s="14">
        <f>SUM(H52/(SUM(B52:J52)))</f>
        <v>0.30348558150679961</v>
      </c>
      <c r="R52" s="1" t="s">
        <v>19</v>
      </c>
      <c r="S52" s="3">
        <v>39.090000000000003</v>
      </c>
      <c r="T52" s="3">
        <f t="shared" si="0"/>
        <v>11.863251381100797</v>
      </c>
    </row>
    <row r="53" spans="1:22" x14ac:dyDescent="0.2">
      <c r="A53" s="4">
        <v>41030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4">
        <f>SUM(J52/(SUM(B52:J52)))</f>
        <v>0.33226544742130953</v>
      </c>
      <c r="R53" s="1" t="s">
        <v>20</v>
      </c>
      <c r="S53" s="3">
        <v>39.090000000000003</v>
      </c>
      <c r="T53" s="3">
        <f t="shared" si="0"/>
        <v>12.988256339698991</v>
      </c>
      <c r="U53" s="3">
        <v>56.4</v>
      </c>
      <c r="V53" s="3">
        <f>SUM(U53*0.03)</f>
        <v>1.6919999999999999</v>
      </c>
    </row>
    <row r="54" spans="1:22" x14ac:dyDescent="0.2">
      <c r="A54" s="1" t="s">
        <v>7</v>
      </c>
      <c r="B54" s="3">
        <v>220723.5</v>
      </c>
      <c r="C54" s="3"/>
      <c r="D54" s="3">
        <v>141052.98000000001</v>
      </c>
      <c r="E54" s="3"/>
      <c r="F54" s="3">
        <v>-145919.99</v>
      </c>
      <c r="G54" s="3"/>
      <c r="H54" s="3">
        <v>179847.67999999999</v>
      </c>
      <c r="I54" s="3"/>
      <c r="J54" s="3">
        <v>196902.83</v>
      </c>
      <c r="K54" s="3"/>
      <c r="L54" s="3">
        <v>0</v>
      </c>
      <c r="M54" s="3"/>
      <c r="N54" s="3">
        <v>41168.26</v>
      </c>
      <c r="P54" s="3">
        <v>0</v>
      </c>
      <c r="Q54" s="14">
        <f>SUM(B57/(SUM(B57:J57)))</f>
        <v>0.57135768063397951</v>
      </c>
      <c r="R54" s="1" t="s">
        <v>16</v>
      </c>
      <c r="S54" s="3">
        <v>111.18</v>
      </c>
      <c r="T54" s="3">
        <f t="shared" si="0"/>
        <v>63.523546932885843</v>
      </c>
      <c r="U54" s="3">
        <v>508.6</v>
      </c>
      <c r="V54" s="3">
        <f>SUM(U54*0.34)</f>
        <v>172.92400000000001</v>
      </c>
    </row>
    <row r="55" spans="1:22" x14ac:dyDescent="0.2">
      <c r="A55" s="5" t="s">
        <v>8</v>
      </c>
      <c r="B55" s="3">
        <v>810270.27</v>
      </c>
      <c r="C55" s="3"/>
      <c r="D55" s="3">
        <v>299620.56</v>
      </c>
      <c r="E55" s="3"/>
      <c r="F55" s="3">
        <v>141130.29999999999</v>
      </c>
      <c r="G55" s="3"/>
      <c r="H55" s="3">
        <v>29963.81</v>
      </c>
      <c r="I55" s="3"/>
      <c r="J55" s="3">
        <v>60486.26</v>
      </c>
      <c r="K55" s="3"/>
      <c r="L55" s="3">
        <v>0</v>
      </c>
      <c r="M55" s="3"/>
      <c r="N55" s="3">
        <v>13089.07</v>
      </c>
      <c r="P55" s="3">
        <v>4650</v>
      </c>
      <c r="Q55" s="14">
        <f>SUM(D57/(SUM(B57:J57)))</f>
        <v>0.19213542326390248</v>
      </c>
      <c r="R55" s="1" t="s">
        <v>17</v>
      </c>
      <c r="S55" s="3">
        <v>111.18</v>
      </c>
      <c r="T55" s="3">
        <f t="shared" si="0"/>
        <v>21.361616358480678</v>
      </c>
      <c r="U55" s="3">
        <v>508.6</v>
      </c>
      <c r="V55" s="3">
        <f>SUM(U55*0.63)</f>
        <v>320.41800000000001</v>
      </c>
    </row>
    <row r="56" spans="1:22" x14ac:dyDescent="0.2">
      <c r="A56" s="5" t="s">
        <v>9</v>
      </c>
      <c r="B56" s="3">
        <v>139903.16</v>
      </c>
      <c r="C56" s="3"/>
      <c r="D56" s="3">
        <v>141018.74</v>
      </c>
      <c r="E56" s="3"/>
      <c r="F56" s="3">
        <v>36554.25</v>
      </c>
      <c r="G56" s="3"/>
      <c r="H56" s="3">
        <v>57000</v>
      </c>
      <c r="I56" s="3"/>
      <c r="J56" s="3">
        <v>0</v>
      </c>
      <c r="K56" s="3"/>
      <c r="L56" s="3">
        <v>0</v>
      </c>
      <c r="M56" s="3"/>
      <c r="N56" s="3">
        <v>9539.11</v>
      </c>
      <c r="P56" s="3">
        <v>81.95</v>
      </c>
      <c r="Q56" s="14">
        <f>SUM(F57/(SUM(B57:J57)))</f>
        <v>-2.6509288058450549E-2</v>
      </c>
      <c r="R56" s="1" t="s">
        <v>18</v>
      </c>
      <c r="S56" s="3">
        <v>111.18</v>
      </c>
      <c r="T56" s="3">
        <f t="shared" si="0"/>
        <v>-2.9473026463385321</v>
      </c>
    </row>
    <row r="57" spans="1:22" x14ac:dyDescent="0.2">
      <c r="A57" s="1" t="s">
        <v>10</v>
      </c>
      <c r="B57" s="3">
        <f>SUM(B54+B55-B56)</f>
        <v>891090.61</v>
      </c>
      <c r="C57" s="3"/>
      <c r="D57" s="3">
        <f>SUM(D54+D55-D56)</f>
        <v>299654.80000000005</v>
      </c>
      <c r="E57" s="3"/>
      <c r="F57" s="3">
        <f>SUM(F54+F55-F56)</f>
        <v>-41343.94</v>
      </c>
      <c r="G57" s="3"/>
      <c r="H57" s="3">
        <f>SUM(H54+H55-H56)</f>
        <v>152811.49</v>
      </c>
      <c r="I57" s="3"/>
      <c r="J57" s="3">
        <f>SUM(J54+J55-J56)</f>
        <v>257389.09</v>
      </c>
      <c r="K57" s="3"/>
      <c r="L57" s="3">
        <f>SUM(L54+L55-L56)</f>
        <v>0</v>
      </c>
      <c r="M57" s="3"/>
      <c r="N57" s="3">
        <f>SUM(N54+N55-N56)</f>
        <v>44718.22</v>
      </c>
      <c r="P57" s="3">
        <f>SUM(P54+P55-P56)</f>
        <v>4568.05</v>
      </c>
      <c r="Q57" s="14">
        <f>SUM(H57/(SUM(B57:J57)))</f>
        <v>9.7981077929462812E-2</v>
      </c>
      <c r="R57" s="1" t="s">
        <v>19</v>
      </c>
      <c r="S57" s="3">
        <v>111.18</v>
      </c>
      <c r="T57" s="3">
        <f t="shared" si="0"/>
        <v>10.893536244197676</v>
      </c>
    </row>
    <row r="58" spans="1:22" x14ac:dyDescent="0.2">
      <c r="A58" s="4">
        <v>41061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4">
        <f>SUM(J57/(SUM(B57:J57)))</f>
        <v>0.16503510623110554</v>
      </c>
      <c r="R58" s="1" t="s">
        <v>20</v>
      </c>
      <c r="S58" s="3">
        <v>111.18</v>
      </c>
      <c r="T58" s="3">
        <f t="shared" si="0"/>
        <v>18.348603110774317</v>
      </c>
      <c r="U58" s="3">
        <v>508.6</v>
      </c>
      <c r="V58" s="3">
        <f>SUM(U58*0.03)</f>
        <v>15.258000000000001</v>
      </c>
    </row>
    <row r="59" spans="1:22" x14ac:dyDescent="0.2">
      <c r="A59" s="1" t="s">
        <v>7</v>
      </c>
      <c r="B59" s="3">
        <v>891090.61</v>
      </c>
      <c r="C59" s="3"/>
      <c r="D59" s="3">
        <v>299654.8</v>
      </c>
      <c r="E59" s="3"/>
      <c r="F59" s="3">
        <v>-41343.94</v>
      </c>
      <c r="G59" s="3"/>
      <c r="H59" s="3">
        <v>152811.49</v>
      </c>
      <c r="I59" s="3"/>
      <c r="J59" s="3">
        <v>257389.09</v>
      </c>
      <c r="K59" s="3"/>
      <c r="L59" s="3">
        <v>0</v>
      </c>
      <c r="M59" s="3"/>
      <c r="N59" s="3">
        <v>44718.22</v>
      </c>
      <c r="P59" s="3">
        <v>4568.05</v>
      </c>
      <c r="Q59" s="14">
        <f>SUM(B62/(SUM(B62:J62)))</f>
        <v>0.43086387116825103</v>
      </c>
      <c r="R59" s="1" t="s">
        <v>16</v>
      </c>
      <c r="S59" s="3">
        <v>189.59</v>
      </c>
      <c r="T59" s="3">
        <f t="shared" si="0"/>
        <v>81.687481334788714</v>
      </c>
      <c r="U59" s="3">
        <v>809.72</v>
      </c>
      <c r="V59" s="3">
        <f>SUM(U59*0.34)</f>
        <v>275.30480000000006</v>
      </c>
    </row>
    <row r="60" spans="1:22" x14ac:dyDescent="0.2">
      <c r="A60" s="5" t="s">
        <v>8</v>
      </c>
      <c r="B60" s="3">
        <v>124723.72</v>
      </c>
      <c r="C60" s="3"/>
      <c r="D60" s="3">
        <v>67968.88</v>
      </c>
      <c r="E60" s="3"/>
      <c r="F60" s="3">
        <v>123517.35</v>
      </c>
      <c r="G60" s="3"/>
      <c r="H60" s="3">
        <v>3218.32</v>
      </c>
      <c r="I60" s="3"/>
      <c r="J60" s="3">
        <v>6498.48</v>
      </c>
      <c r="K60" s="3"/>
      <c r="L60" s="3">
        <v>0</v>
      </c>
      <c r="M60" s="3"/>
      <c r="N60" s="3">
        <v>5307.85</v>
      </c>
      <c r="P60" s="3">
        <v>0</v>
      </c>
      <c r="Q60" s="14">
        <f>SUM(D62/(SUM(B62:J62)))</f>
        <v>0.24335227114531757</v>
      </c>
      <c r="R60" s="1" t="s">
        <v>17</v>
      </c>
      <c r="S60" s="3">
        <v>189.59</v>
      </c>
      <c r="T60" s="3">
        <f t="shared" si="0"/>
        <v>46.137157086440759</v>
      </c>
      <c r="U60" s="3">
        <v>809.72</v>
      </c>
      <c r="V60" s="3">
        <f>SUM(U60*0.63)</f>
        <v>510.12360000000001</v>
      </c>
    </row>
    <row r="61" spans="1:22" x14ac:dyDescent="0.2">
      <c r="A61" s="5" t="s">
        <v>9</v>
      </c>
      <c r="B61" s="3">
        <v>467067.56</v>
      </c>
      <c r="C61" s="3"/>
      <c r="D61" s="3">
        <v>57691.05</v>
      </c>
      <c r="E61" s="3"/>
      <c r="F61" s="3">
        <v>87173.57</v>
      </c>
      <c r="G61" s="3"/>
      <c r="H61" s="3">
        <v>0</v>
      </c>
      <c r="I61" s="3"/>
      <c r="J61" s="3">
        <v>0</v>
      </c>
      <c r="K61" s="3"/>
      <c r="L61" s="3">
        <v>0</v>
      </c>
      <c r="M61" s="3"/>
      <c r="N61" s="3">
        <v>21376.9</v>
      </c>
      <c r="P61" s="3">
        <v>757.99</v>
      </c>
      <c r="Q61" s="14">
        <f>SUM(F62/(SUM(B62:J62)))</f>
        <v>-3.9260154443563171E-3</v>
      </c>
      <c r="R61" s="1" t="s">
        <v>18</v>
      </c>
      <c r="S61" s="3">
        <v>189.59</v>
      </c>
      <c r="T61" s="3">
        <f t="shared" si="0"/>
        <v>-0.74433326809551414</v>
      </c>
    </row>
    <row r="62" spans="1:22" x14ac:dyDescent="0.2">
      <c r="A62" s="1" t="s">
        <v>10</v>
      </c>
      <c r="B62" s="3">
        <f>SUM(B59+B60-B61)</f>
        <v>548746.77</v>
      </c>
      <c r="C62" s="3"/>
      <c r="D62" s="3">
        <f>SUM(D59+D60-D61)</f>
        <v>309932.63</v>
      </c>
      <c r="E62" s="3"/>
      <c r="F62" s="3">
        <f>SUM(F59+F60-F61)</f>
        <v>-5000.1600000000035</v>
      </c>
      <c r="G62" s="3"/>
      <c r="H62" s="3">
        <f>SUM(H59+H60-H61)</f>
        <v>156029.81</v>
      </c>
      <c r="I62" s="3"/>
      <c r="J62" s="3">
        <f>SUM(J59+J60-J61)</f>
        <v>263887.57</v>
      </c>
      <c r="K62" s="3"/>
      <c r="L62" s="3">
        <f>SUM(L59+L60-L61)</f>
        <v>0</v>
      </c>
      <c r="M62" s="3"/>
      <c r="N62" s="3">
        <f>SUM(N59+N60-N61)</f>
        <v>28649.17</v>
      </c>
      <c r="P62" s="3">
        <f>SUM(P59+P60-P61)</f>
        <v>3810.0600000000004</v>
      </c>
      <c r="Q62" s="14">
        <f>SUM(H62/(SUM(B62:J62)))</f>
        <v>0.12251116841060711</v>
      </c>
      <c r="R62" s="1" t="s">
        <v>19</v>
      </c>
      <c r="S62" s="3">
        <v>189.59</v>
      </c>
      <c r="T62" s="3">
        <f t="shared" si="0"/>
        <v>23.226892418967001</v>
      </c>
    </row>
    <row r="63" spans="1:22" x14ac:dyDescent="0.2">
      <c r="A63" s="5" t="s">
        <v>26</v>
      </c>
      <c r="B63" s="3">
        <v>222965.04</v>
      </c>
      <c r="C63" s="3"/>
      <c r="D63" s="3"/>
      <c r="E63" s="3"/>
      <c r="F63" s="3">
        <v>53651.97</v>
      </c>
      <c r="G63" s="3"/>
      <c r="H63" s="3"/>
      <c r="I63" s="3"/>
      <c r="J63" s="3"/>
      <c r="K63" s="3"/>
      <c r="L63" s="3"/>
      <c r="M63" s="3"/>
      <c r="N63" s="3">
        <v>12010.81</v>
      </c>
      <c r="Q63" s="14">
        <f>SUM(J62/(SUM(B62:J62)))</f>
        <v>0.20719870472018054</v>
      </c>
      <c r="R63" s="1" t="s">
        <v>20</v>
      </c>
      <c r="S63" s="3">
        <v>189.59</v>
      </c>
      <c r="T63" s="3">
        <f t="shared" si="0"/>
        <v>39.282802427899028</v>
      </c>
      <c r="U63" s="3">
        <v>809.72</v>
      </c>
      <c r="V63" s="3">
        <f>SUM(U63*0.03)</f>
        <v>24.291599999999999</v>
      </c>
    </row>
    <row r="64" spans="1:22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4"/>
    </row>
    <row r="65" spans="1:23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4"/>
    </row>
    <row r="66" spans="1:23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4"/>
    </row>
    <row r="67" spans="1:23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4"/>
    </row>
    <row r="68" spans="1:23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4"/>
    </row>
    <row r="69" spans="1:23" x14ac:dyDescent="0.2">
      <c r="A69" s="1" t="s">
        <v>15</v>
      </c>
      <c r="B69" s="3">
        <f>SUM(B62:B68)</f>
        <v>771711.81</v>
      </c>
      <c r="C69" s="3"/>
      <c r="D69" s="3">
        <f>SUM(D62:D68)</f>
        <v>309932.63</v>
      </c>
      <c r="E69" s="3"/>
      <c r="F69" s="3">
        <f>SUM(F62:F68)</f>
        <v>48651.81</v>
      </c>
      <c r="G69" s="3"/>
      <c r="H69" s="3">
        <f>SUM(H62:H68)</f>
        <v>156029.81</v>
      </c>
      <c r="I69" s="3"/>
      <c r="J69" s="3">
        <f>SUM(J62:J68)</f>
        <v>263887.57</v>
      </c>
      <c r="K69" s="3"/>
      <c r="L69" s="3">
        <f>SUM(L62:L68)</f>
        <v>0</v>
      </c>
      <c r="M69" s="3"/>
      <c r="N69" s="3">
        <f>SUM(N62:N68)</f>
        <v>40659.979999999996</v>
      </c>
      <c r="P69" s="3">
        <f>SUM(P62:P68)</f>
        <v>3810.0600000000004</v>
      </c>
      <c r="Q69" s="14"/>
      <c r="R69" s="1" t="s">
        <v>16</v>
      </c>
      <c r="T69" s="2">
        <f>SUM(T3,T8,T13,T18,T23,T28,T33,T38,T43,T48,T54,T59)</f>
        <v>964.5751299002718</v>
      </c>
      <c r="V69" s="2">
        <f>SUM(V3,V8,V13,V18,V23,V28,V33,V38,V43,V48,V54,V59)</f>
        <v>1763.2739999999999</v>
      </c>
      <c r="W69" s="2">
        <f>SUM(T69+V69+(T71*0.4))</f>
        <v>2691.2515995343797</v>
      </c>
    </row>
    <row r="70" spans="1:23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4"/>
      <c r="R70" s="1" t="s">
        <v>17</v>
      </c>
      <c r="T70" s="2">
        <f>SUM(T4,T9,T14,T19,T24,T29,T34,T39,T44,T49,T55,T60)</f>
        <v>242.80183889763541</v>
      </c>
      <c r="V70" s="2">
        <f>SUM(V4,V9,V14,V19,V24,V29,V34,V39,V44,V49,V55,V60)</f>
        <v>3267.2430000000004</v>
      </c>
      <c r="W70" s="2">
        <f>SUM(T70+V70+(T71*0.35))</f>
        <v>3478.0219998274802</v>
      </c>
    </row>
    <row r="71" spans="1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4"/>
      <c r="R71" s="1" t="s">
        <v>18</v>
      </c>
      <c r="T71" s="2">
        <f>SUM(T5,T10,T15,T20,T25,T30,T35,T40,T45,T50,T56,T61)</f>
        <v>-91.493825914729641</v>
      </c>
      <c r="V71" s="1"/>
    </row>
    <row r="72" spans="1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4"/>
      <c r="R72" s="1" t="s">
        <v>19</v>
      </c>
      <c r="T72" s="2">
        <f>SUM(T6,T11,T16,T21,T26,T31,T36,T41,T46,T52,T57,T62)</f>
        <v>276.24805165015891</v>
      </c>
      <c r="V72" s="1"/>
      <c r="W72" s="2">
        <f>SUM(T72+(T71*0.125))</f>
        <v>264.81132341081769</v>
      </c>
    </row>
    <row r="73" spans="1:23" x14ac:dyDescent="0.2">
      <c r="B73" s="3">
        <f>SUM(B5,B10,B15,B20,B25,B30,B35,B40,B45,B50,B56,B61)</f>
        <v>2584885.9500000002</v>
      </c>
      <c r="C73" s="3"/>
      <c r="D73" s="3">
        <f>SUM(D5,D10,D15,D20,D25,D30,D35,D40,D45,D50,D56,D61)</f>
        <v>982777.7100000002</v>
      </c>
      <c r="E73" s="3"/>
      <c r="F73" s="3">
        <f>SUM(F5,F10,F15,F20,F25,F30,F35,F40,F45,F50,F56,F61)</f>
        <v>500431.22000000003</v>
      </c>
      <c r="G73" s="3"/>
      <c r="H73" s="3">
        <f>SUM(H5,H10,H15,H20,H25,H30,H35,H40,H45,H50,H56,H61)</f>
        <v>66225</v>
      </c>
      <c r="I73" s="3"/>
      <c r="J73" s="3">
        <f>SUM(J5,J10,J15,J20,J25,J30,J35,J40,J45,J50,J56,J61)</f>
        <v>144861.81</v>
      </c>
      <c r="K73" s="3"/>
      <c r="L73" s="3">
        <f>SUM(L5,L10,L15,L20,L25,L30,L35,L40,L45,L50,L56,L61)</f>
        <v>1082590.7</v>
      </c>
      <c r="M73" s="3"/>
      <c r="N73" s="3">
        <f>SUM(N5,N10,N15,N20,N25,N30,N35,N40,N45,N50,N56,N61)</f>
        <v>170352.38999999998</v>
      </c>
      <c r="P73" s="3">
        <f>SUM(P5,P10,P15,P20,P25,P30,P35,P40,P45,P50,P56,P61)</f>
        <v>839.94</v>
      </c>
      <c r="Q73" s="14"/>
      <c r="R73" s="1" t="s">
        <v>20</v>
      </c>
      <c r="T73" s="2">
        <f>SUM(T7,T12,T17,T22,T27,T32,T37,T42,T47,T53,T58,T63)</f>
        <v>276.04880546666351</v>
      </c>
      <c r="V73" s="2">
        <f>SUM(V7,V12,V17,V22,V27,V32,V37,V42,V47,V53,V58,V63)</f>
        <v>155.58299999999997</v>
      </c>
      <c r="W73" s="2">
        <f>SUM(T73+V73+(T71*0.125))</f>
        <v>420.19507722732226</v>
      </c>
    </row>
    <row r="74" spans="1:23" x14ac:dyDescent="0.2">
      <c r="B74" s="15">
        <f>SUM(B69/B73)</f>
        <v>0.29854772122537943</v>
      </c>
      <c r="C74" s="3"/>
      <c r="D74" s="15">
        <f>SUM(D69/D73)</f>
        <v>0.31536391886625098</v>
      </c>
      <c r="E74" s="3"/>
      <c r="F74" s="15">
        <f>SUM(F69/F73)</f>
        <v>9.7219773778302626E-2</v>
      </c>
      <c r="G74" s="3"/>
      <c r="H74" s="15">
        <f>SUM(H69/H73)</f>
        <v>2.356056021140053</v>
      </c>
      <c r="I74" s="3"/>
      <c r="J74" s="15">
        <f>SUM(J69/J73)</f>
        <v>1.821650371481621</v>
      </c>
      <c r="K74" s="3"/>
      <c r="L74" s="15">
        <f>SUM(L69/L73)</f>
        <v>0</v>
      </c>
      <c r="M74" s="3"/>
      <c r="N74" s="15">
        <f>SUM(N69/N73)</f>
        <v>0.23868159407684272</v>
      </c>
      <c r="P74" s="15">
        <f>SUM(P69/P73)</f>
        <v>4.5361097221230091</v>
      </c>
      <c r="Q74" s="14"/>
    </row>
  </sheetData>
  <pageMargins left="0.7" right="0.7" top="0.75" bottom="0.75" header="0.3" footer="0.3"/>
  <pageSetup scale="84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28" zoomScaleNormal="100" workbookViewId="0">
      <selection activeCell="L69" sqref="L69"/>
    </sheetView>
  </sheetViews>
  <sheetFormatPr defaultRowHeight="12.75" x14ac:dyDescent="0.2"/>
  <cols>
    <col min="1" max="1" width="23.5703125" customWidth="1"/>
    <col min="2" max="2" width="15.28515625" customWidth="1"/>
    <col min="3" max="3" width="1.7109375" customWidth="1"/>
    <col min="4" max="4" width="19.7109375" customWidth="1"/>
    <col min="5" max="5" width="1" customWidth="1"/>
    <col min="6" max="6" width="14.5703125" customWidth="1"/>
    <col min="7" max="7" width="1.42578125" customWidth="1"/>
    <col min="8" max="8" width="11.7109375" customWidth="1"/>
    <col min="9" max="9" width="1.42578125" customWidth="1"/>
    <col min="10" max="10" width="11.42578125" customWidth="1"/>
    <col min="11" max="11" width="1.140625" customWidth="1"/>
    <col min="12" max="12" width="13.5703125" customWidth="1"/>
    <col min="13" max="13" width="1.28515625" customWidth="1"/>
    <col min="14" max="14" width="14.28515625" customWidth="1"/>
    <col min="16" max="16" width="12.140625" style="14" customWidth="1"/>
    <col min="17" max="17" width="4.5703125" customWidth="1"/>
    <col min="18" max="18" width="12.140625" customWidth="1"/>
    <col min="19" max="19" width="9.28515625" bestFit="1" customWidth="1"/>
    <col min="20" max="20" width="10.140625" customWidth="1"/>
    <col min="21" max="21" width="10.140625" bestFit="1" customWidth="1"/>
  </cols>
  <sheetData>
    <row r="1" spans="1:2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3" t="s">
        <v>21</v>
      </c>
      <c r="Q1" s="1"/>
      <c r="R1" s="1" t="s">
        <v>22</v>
      </c>
      <c r="S1" s="2"/>
      <c r="T1" s="1" t="s">
        <v>23</v>
      </c>
    </row>
    <row r="2" spans="1:21" x14ac:dyDescent="0.2">
      <c r="A2" s="4">
        <v>40360</v>
      </c>
    </row>
    <row r="3" spans="1:21" x14ac:dyDescent="0.2">
      <c r="A3" s="1" t="s">
        <v>7</v>
      </c>
      <c r="B3" s="3">
        <v>1107940.07</v>
      </c>
      <c r="C3" s="3"/>
      <c r="D3" s="3">
        <v>622962.77</v>
      </c>
      <c r="E3" s="3"/>
      <c r="F3" s="3">
        <v>57185.49</v>
      </c>
      <c r="G3" s="3"/>
      <c r="H3" s="3">
        <v>159813.47</v>
      </c>
      <c r="I3" s="3"/>
      <c r="J3" s="3">
        <v>261690.21</v>
      </c>
      <c r="K3" s="3"/>
      <c r="L3" s="3"/>
      <c r="M3" s="3"/>
      <c r="N3" s="3">
        <v>26799.759999999998</v>
      </c>
      <c r="P3" s="14">
        <f>SUM(B6/(SUM(B6:J6)))</f>
        <v>0.59482484267006164</v>
      </c>
      <c r="Q3" s="1" t="s">
        <v>16</v>
      </c>
      <c r="R3">
        <v>280.44</v>
      </c>
      <c r="S3" s="3">
        <f>SUM(P3*R3)</f>
        <v>166.81267887839209</v>
      </c>
      <c r="T3">
        <v>902.28</v>
      </c>
      <c r="U3" s="3">
        <f>SUM(T3*0.34)</f>
        <v>306.77520000000004</v>
      </c>
    </row>
    <row r="4" spans="1:21" x14ac:dyDescent="0.2">
      <c r="A4" s="5" t="s">
        <v>8</v>
      </c>
      <c r="B4" s="3">
        <v>111701.21</v>
      </c>
      <c r="C4" s="3"/>
      <c r="D4" s="3">
        <v>2025.27</v>
      </c>
      <c r="E4" s="3"/>
      <c r="F4" s="3">
        <v>956.6</v>
      </c>
      <c r="G4" s="3"/>
      <c r="H4" s="3">
        <v>202.52</v>
      </c>
      <c r="I4" s="3"/>
      <c r="J4" s="3">
        <v>627.83000000000004</v>
      </c>
      <c r="K4" s="3"/>
      <c r="L4" s="3"/>
      <c r="M4" s="3"/>
      <c r="N4" s="3">
        <v>0</v>
      </c>
      <c r="P4" s="14">
        <f>SUM(D6/(SUM(B6:J6)))</f>
        <v>0.22484429695978544</v>
      </c>
      <c r="Q4" s="1" t="s">
        <v>17</v>
      </c>
      <c r="R4">
        <v>280.44</v>
      </c>
      <c r="S4" s="3">
        <f t="shared" ref="S4:S62" si="0">SUM(P4*R4)</f>
        <v>63.055334639402233</v>
      </c>
      <c r="T4">
        <v>902.28</v>
      </c>
      <c r="U4" s="3">
        <f>SUM(T4*0.63)</f>
        <v>568.43639999999994</v>
      </c>
    </row>
    <row r="5" spans="1:21" x14ac:dyDescent="0.2">
      <c r="A5" s="5" t="s">
        <v>9</v>
      </c>
      <c r="B5" s="3">
        <v>201758.07</v>
      </c>
      <c r="C5" s="3"/>
      <c r="D5" s="3">
        <v>240227.32</v>
      </c>
      <c r="E5" s="3"/>
      <c r="F5" s="3">
        <v>32569.08</v>
      </c>
      <c r="G5" s="3"/>
      <c r="H5" s="3">
        <v>4619.13</v>
      </c>
      <c r="I5" s="3"/>
      <c r="J5" s="3">
        <v>134700</v>
      </c>
      <c r="K5" s="3"/>
      <c r="L5" s="3"/>
      <c r="M5" s="3"/>
      <c r="N5" s="3">
        <v>7047.82</v>
      </c>
      <c r="P5" s="14">
        <f>SUM(F6/(SUM(B6:J6)))</f>
        <v>1.4944211182980324E-2</v>
      </c>
      <c r="Q5" s="1" t="s">
        <v>18</v>
      </c>
      <c r="R5">
        <v>280.44</v>
      </c>
      <c r="S5" s="3">
        <f t="shared" si="0"/>
        <v>4.1909545841550022</v>
      </c>
    </row>
    <row r="6" spans="1:21" x14ac:dyDescent="0.2">
      <c r="A6" s="1" t="s">
        <v>10</v>
      </c>
      <c r="B6" s="3">
        <f>SUM(B3+B4-B5)</f>
        <v>1017883.21</v>
      </c>
      <c r="C6" s="3"/>
      <c r="D6" s="3">
        <f>SUM(D3+D4-D5)</f>
        <v>384760.72000000003</v>
      </c>
      <c r="E6" s="3"/>
      <c r="F6" s="3">
        <f>SUM(F3+F4-F5)</f>
        <v>25573.009999999995</v>
      </c>
      <c r="G6" s="3"/>
      <c r="H6" s="3">
        <f>SUM(H3+H4-H5)</f>
        <v>155396.85999999999</v>
      </c>
      <c r="I6" s="3"/>
      <c r="J6" s="3">
        <f>SUM(J3+J4-J5)</f>
        <v>127618.03999999998</v>
      </c>
      <c r="K6" s="3"/>
      <c r="L6" s="3"/>
      <c r="M6" s="3"/>
      <c r="N6" s="3">
        <f>SUM(N3+N4-N5)</f>
        <v>19751.939999999999</v>
      </c>
      <c r="P6" s="14">
        <f>SUM(H6/(SUM(B6:J6)))</f>
        <v>9.0809939581301846E-2</v>
      </c>
      <c r="Q6" s="1" t="s">
        <v>19</v>
      </c>
      <c r="R6">
        <v>280.44</v>
      </c>
      <c r="S6" s="3">
        <f t="shared" si="0"/>
        <v>25.466739456180289</v>
      </c>
    </row>
    <row r="7" spans="1:21" x14ac:dyDescent="0.2">
      <c r="A7" s="4">
        <v>40391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4">
        <f>SUM(J6/(SUM(B6:J6)))</f>
        <v>7.4576709605870817E-2</v>
      </c>
      <c r="Q7" s="1" t="s">
        <v>20</v>
      </c>
      <c r="R7">
        <v>280.44</v>
      </c>
      <c r="S7" s="3">
        <f t="shared" si="0"/>
        <v>20.914292441870412</v>
      </c>
      <c r="T7">
        <v>902.28</v>
      </c>
      <c r="U7" s="3">
        <f>SUM(T7*0.03)</f>
        <v>27.068399999999997</v>
      </c>
    </row>
    <row r="8" spans="1:21" x14ac:dyDescent="0.2">
      <c r="A8" s="1" t="s">
        <v>7</v>
      </c>
      <c r="B8" s="3">
        <v>1017883.21</v>
      </c>
      <c r="C8" s="3"/>
      <c r="D8" s="3">
        <v>384760.72</v>
      </c>
      <c r="E8" s="3"/>
      <c r="F8" s="3">
        <v>25573.01</v>
      </c>
      <c r="G8" s="3"/>
      <c r="H8" s="3">
        <v>155396.85999999999</v>
      </c>
      <c r="I8" s="3"/>
      <c r="J8" s="3">
        <v>127618.04</v>
      </c>
      <c r="K8" s="3"/>
      <c r="L8" s="3"/>
      <c r="M8" s="3"/>
      <c r="N8" s="3">
        <v>19751.939999999999</v>
      </c>
      <c r="P8" s="14">
        <f>SUM(B11/(SUM(B11:J11)))</f>
        <v>0.60991406620266775</v>
      </c>
      <c r="Q8" s="1" t="s">
        <v>16</v>
      </c>
      <c r="R8">
        <v>217.64</v>
      </c>
      <c r="S8" s="3">
        <f t="shared" si="0"/>
        <v>132.74169736834861</v>
      </c>
      <c r="T8">
        <v>147.78</v>
      </c>
      <c r="U8" s="3">
        <f>SUM(T8*0.34)</f>
        <v>50.245200000000004</v>
      </c>
    </row>
    <row r="9" spans="1:21" x14ac:dyDescent="0.2">
      <c r="A9" s="5" t="s">
        <v>8</v>
      </c>
      <c r="B9" s="3">
        <v>145313.35999999999</v>
      </c>
      <c r="C9" s="3"/>
      <c r="D9" s="3">
        <v>3666.02</v>
      </c>
      <c r="E9" s="3"/>
      <c r="F9" s="3">
        <v>3758.39</v>
      </c>
      <c r="G9" s="3"/>
      <c r="H9" s="3">
        <v>386.37</v>
      </c>
      <c r="I9" s="3"/>
      <c r="J9" s="3">
        <v>1225.45</v>
      </c>
      <c r="K9" s="3"/>
      <c r="L9" s="3"/>
      <c r="M9" s="3"/>
      <c r="N9" s="3">
        <v>-7533.62</v>
      </c>
      <c r="P9" s="14">
        <f>SUM(D11/(SUM(B11:J11)))</f>
        <v>0.212826873232416</v>
      </c>
      <c r="Q9" s="1" t="s">
        <v>17</v>
      </c>
      <c r="R9">
        <v>217.64</v>
      </c>
      <c r="S9" s="3">
        <f t="shared" si="0"/>
        <v>46.319640690303018</v>
      </c>
      <c r="T9">
        <v>147.78</v>
      </c>
      <c r="U9" s="3">
        <f>SUM(T9*0.63)</f>
        <v>93.101399999999998</v>
      </c>
    </row>
    <row r="10" spans="1:21" x14ac:dyDescent="0.2">
      <c r="A10" s="5" t="s">
        <v>9</v>
      </c>
      <c r="B10" s="3">
        <v>188243.08</v>
      </c>
      <c r="C10" s="3"/>
      <c r="D10" s="3">
        <v>48220.94</v>
      </c>
      <c r="E10" s="3"/>
      <c r="F10" s="3">
        <v>30607.81</v>
      </c>
      <c r="G10" s="3"/>
      <c r="H10" s="3">
        <v>0</v>
      </c>
      <c r="I10" s="3"/>
      <c r="J10" s="3">
        <v>0</v>
      </c>
      <c r="K10" s="3"/>
      <c r="L10" s="3"/>
      <c r="M10" s="3"/>
      <c r="N10" s="3">
        <v>-2470.16</v>
      </c>
      <c r="P10" s="14">
        <f>SUM(F11/(SUM(B11:J11)))</f>
        <v>-7.9850005279918468E-4</v>
      </c>
      <c r="Q10" s="1" t="s">
        <v>18</v>
      </c>
      <c r="R10">
        <v>217.64</v>
      </c>
      <c r="S10" s="3">
        <f t="shared" si="0"/>
        <v>-0.17378555149121455</v>
      </c>
    </row>
    <row r="11" spans="1:21" x14ac:dyDescent="0.2">
      <c r="A11" s="1" t="s">
        <v>10</v>
      </c>
      <c r="B11" s="3">
        <f>SUM(B8+B9-B10)</f>
        <v>974953.48999999987</v>
      </c>
      <c r="C11" s="3"/>
      <c r="D11" s="3">
        <f>SUM(D8+D9-D10)</f>
        <v>340205.8</v>
      </c>
      <c r="E11" s="3"/>
      <c r="F11" s="3">
        <f>SUM(F8+F9-F10)</f>
        <v>-1276.4100000000035</v>
      </c>
      <c r="G11" s="3"/>
      <c r="H11" s="3">
        <f>SUM(H8+H9-H10)</f>
        <v>155783.22999999998</v>
      </c>
      <c r="I11" s="3"/>
      <c r="J11" s="3">
        <f>SUM(J8+J9-J10)</f>
        <v>128843.48999999999</v>
      </c>
      <c r="K11" s="3"/>
      <c r="L11" s="3"/>
      <c r="M11" s="3"/>
      <c r="N11" s="3">
        <f>SUM(N8+N9-N10)</f>
        <v>14688.48</v>
      </c>
      <c r="P11" s="14">
        <f>SUM(H11/(SUM(B11:J11)))</f>
        <v>9.7455298360422729E-2</v>
      </c>
      <c r="Q11" s="1" t="s">
        <v>19</v>
      </c>
      <c r="R11">
        <v>217.64</v>
      </c>
      <c r="S11" s="3">
        <f t="shared" si="0"/>
        <v>21.210171135162401</v>
      </c>
    </row>
    <row r="12" spans="1:21" x14ac:dyDescent="0.2">
      <c r="A12" s="4">
        <v>40422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4">
        <f>SUM(J11/(SUM(B11:J11)))</f>
        <v>8.0602262257292667E-2</v>
      </c>
      <c r="Q12" s="1" t="s">
        <v>20</v>
      </c>
      <c r="R12">
        <v>217.64</v>
      </c>
      <c r="S12" s="3">
        <f t="shared" si="0"/>
        <v>17.542276357677174</v>
      </c>
      <c r="T12">
        <v>147.78</v>
      </c>
      <c r="U12" s="3">
        <f>SUM(T12*0.03)</f>
        <v>4.4333999999999998</v>
      </c>
    </row>
    <row r="13" spans="1:21" x14ac:dyDescent="0.2">
      <c r="A13" s="1" t="s">
        <v>7</v>
      </c>
      <c r="B13" s="3">
        <v>974953.49</v>
      </c>
      <c r="C13" s="3"/>
      <c r="D13" s="3">
        <v>340205.8</v>
      </c>
      <c r="E13" s="3"/>
      <c r="F13" s="3">
        <v>-1276.4100000000001</v>
      </c>
      <c r="G13" s="3"/>
      <c r="H13" s="3">
        <v>155783.23000000001</v>
      </c>
      <c r="I13" s="3"/>
      <c r="J13" s="3">
        <v>128843.49</v>
      </c>
      <c r="K13" s="3"/>
      <c r="L13" s="3"/>
      <c r="M13" s="3"/>
      <c r="N13" s="3">
        <v>14688.48</v>
      </c>
      <c r="P13" s="14">
        <f>SUM(B16/(SUM(B16:J16)))</f>
        <v>0.59136742372563955</v>
      </c>
      <c r="Q13" s="1" t="s">
        <v>16</v>
      </c>
      <c r="R13">
        <v>190.13</v>
      </c>
      <c r="S13" s="3">
        <f t="shared" si="0"/>
        <v>112.43668827295585</v>
      </c>
      <c r="T13">
        <v>150.22</v>
      </c>
      <c r="U13" s="3">
        <f>SUM(T13*0.34)</f>
        <v>51.074800000000003</v>
      </c>
    </row>
    <row r="14" spans="1:21" x14ac:dyDescent="0.2">
      <c r="A14" s="5" t="s">
        <v>8</v>
      </c>
      <c r="B14" s="3">
        <v>120232.32000000001</v>
      </c>
      <c r="C14" s="3"/>
      <c r="D14" s="3">
        <v>11136.05</v>
      </c>
      <c r="E14" s="3"/>
      <c r="F14" s="3">
        <v>1498.37</v>
      </c>
      <c r="G14" s="3"/>
      <c r="H14" s="3">
        <v>136.53</v>
      </c>
      <c r="I14" s="3"/>
      <c r="J14" s="3">
        <v>426.38</v>
      </c>
      <c r="K14" s="3"/>
      <c r="L14" s="3"/>
      <c r="M14" s="3"/>
      <c r="N14" s="3">
        <v>14096.73</v>
      </c>
      <c r="P14" s="14">
        <f>SUM(D16/(SUM(B16:J16)))</f>
        <v>0.23488778117269996</v>
      </c>
      <c r="Q14" s="1" t="s">
        <v>17</v>
      </c>
      <c r="R14">
        <v>190.13</v>
      </c>
      <c r="S14" s="3">
        <f t="shared" si="0"/>
        <v>44.659213834365438</v>
      </c>
      <c r="T14">
        <v>150.22</v>
      </c>
      <c r="U14" s="3">
        <f>SUM(T14*0.63)</f>
        <v>94.638599999999997</v>
      </c>
    </row>
    <row r="15" spans="1:21" x14ac:dyDescent="0.2">
      <c r="A15" s="5" t="s">
        <v>9</v>
      </c>
      <c r="B15" s="3">
        <v>231007.01</v>
      </c>
      <c r="C15" s="3"/>
      <c r="D15" s="3">
        <v>8094.94</v>
      </c>
      <c r="E15" s="3"/>
      <c r="F15" s="3">
        <v>31514.33</v>
      </c>
      <c r="G15" s="3"/>
      <c r="H15" s="3">
        <v>0</v>
      </c>
      <c r="I15" s="3"/>
      <c r="J15" s="3">
        <v>0</v>
      </c>
      <c r="K15" s="3"/>
      <c r="L15" s="3"/>
      <c r="M15" s="3"/>
      <c r="N15" s="3">
        <v>22727.95</v>
      </c>
      <c r="P15" s="14">
        <f>SUM(F16/(SUM(B16:J16)))</f>
        <v>-2.1413726220973591E-2</v>
      </c>
      <c r="Q15" s="1" t="s">
        <v>18</v>
      </c>
      <c r="R15">
        <v>190.13</v>
      </c>
      <c r="S15" s="3">
        <f t="shared" si="0"/>
        <v>-4.0713917663937087</v>
      </c>
    </row>
    <row r="16" spans="1:21" x14ac:dyDescent="0.2">
      <c r="A16" s="1" t="s">
        <v>10</v>
      </c>
      <c r="B16" s="3">
        <f>SUM(B13+B14-B15)</f>
        <v>864178.8</v>
      </c>
      <c r="C16" s="3"/>
      <c r="D16" s="3">
        <f>SUM(D13+D14-D15)</f>
        <v>343246.91</v>
      </c>
      <c r="E16" s="3"/>
      <c r="F16" s="3">
        <f>SUM(F13+F14-F15)</f>
        <v>-31292.370000000003</v>
      </c>
      <c r="G16" s="3"/>
      <c r="H16" s="3">
        <f>SUM(H13+H14-H15)</f>
        <v>155919.76</v>
      </c>
      <c r="I16" s="3"/>
      <c r="J16" s="3">
        <f>SUM(J13+J14-J15)</f>
        <v>129269.87000000001</v>
      </c>
      <c r="K16" s="3"/>
      <c r="L16" s="3"/>
      <c r="M16" s="3"/>
      <c r="N16" s="3">
        <f>SUM(N13+N14-N15)</f>
        <v>6057.2599999999984</v>
      </c>
      <c r="P16" s="14">
        <f>SUM(H16/(SUM(B16:J16)))</f>
        <v>0.10669767272596832</v>
      </c>
      <c r="Q16" s="1" t="s">
        <v>19</v>
      </c>
      <c r="R16">
        <v>190.13</v>
      </c>
      <c r="S16" s="3">
        <f t="shared" si="0"/>
        <v>20.286428515388355</v>
      </c>
    </row>
    <row r="17" spans="1:21" x14ac:dyDescent="0.2">
      <c r="A17" s="4">
        <v>40452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4">
        <f>SUM(J16/(SUM(B16:J16)))</f>
        <v>8.8460848596665809E-2</v>
      </c>
      <c r="Q17" s="1" t="s">
        <v>20</v>
      </c>
      <c r="R17">
        <v>190.13</v>
      </c>
      <c r="S17" s="3">
        <f t="shared" si="0"/>
        <v>16.81906114368407</v>
      </c>
      <c r="T17">
        <v>150.22</v>
      </c>
      <c r="U17" s="3">
        <f>SUM(T17*0.03)</f>
        <v>4.5065999999999997</v>
      </c>
    </row>
    <row r="18" spans="1:21" x14ac:dyDescent="0.2">
      <c r="A18" s="1" t="s">
        <v>7</v>
      </c>
      <c r="B18" s="3">
        <v>864178.8</v>
      </c>
      <c r="C18" s="3"/>
      <c r="D18" s="3">
        <v>343246.91</v>
      </c>
      <c r="E18" s="3"/>
      <c r="F18" s="3">
        <v>-31292.37</v>
      </c>
      <c r="G18" s="3"/>
      <c r="H18" s="3">
        <v>155919.76</v>
      </c>
      <c r="I18" s="3"/>
      <c r="J18" s="3">
        <v>129269.87</v>
      </c>
      <c r="K18" s="3"/>
      <c r="L18" s="3">
        <v>0</v>
      </c>
      <c r="M18" s="3"/>
      <c r="N18" s="3">
        <v>6057.26</v>
      </c>
      <c r="P18" s="14">
        <f>SUM(B21/(SUM(B21:J21)))</f>
        <v>0.63708593053089202</v>
      </c>
      <c r="Q18" s="1" t="s">
        <v>16</v>
      </c>
      <c r="R18">
        <v>170.37</v>
      </c>
      <c r="S18" s="3">
        <f t="shared" si="0"/>
        <v>108.54032998454808</v>
      </c>
      <c r="T18">
        <v>112.06</v>
      </c>
      <c r="U18" s="3">
        <f>SUM(T18*0.34)</f>
        <v>38.1004</v>
      </c>
    </row>
    <row r="19" spans="1:21" x14ac:dyDescent="0.2">
      <c r="A19" s="5" t="s">
        <v>8</v>
      </c>
      <c r="B19" s="3">
        <v>204995.32</v>
      </c>
      <c r="C19" s="3"/>
      <c r="D19" s="3">
        <v>11702.82</v>
      </c>
      <c r="E19" s="3"/>
      <c r="F19" s="3">
        <v>6916.99</v>
      </c>
      <c r="G19" s="3"/>
      <c r="H19" s="3">
        <v>1171.23</v>
      </c>
      <c r="I19" s="3"/>
      <c r="J19" s="3">
        <v>3632.1</v>
      </c>
      <c r="K19" s="3"/>
      <c r="L19" s="3">
        <v>0</v>
      </c>
      <c r="M19" s="3"/>
      <c r="N19" s="3">
        <v>23207.040000000001</v>
      </c>
      <c r="P19" s="14">
        <f>SUM(D21/(SUM(B21:J21)))</f>
        <v>0.19830217580582002</v>
      </c>
      <c r="Q19" s="1" t="s">
        <v>17</v>
      </c>
      <c r="R19">
        <v>170.37</v>
      </c>
      <c r="S19" s="3">
        <f t="shared" si="0"/>
        <v>33.784741692037557</v>
      </c>
      <c r="T19">
        <v>112.06</v>
      </c>
      <c r="U19" s="3">
        <f>SUM(T19*0.63)</f>
        <v>70.597800000000007</v>
      </c>
    </row>
    <row r="20" spans="1:21" x14ac:dyDescent="0.2">
      <c r="A20" s="5" t="s">
        <v>9</v>
      </c>
      <c r="B20" s="3">
        <v>190254.97</v>
      </c>
      <c r="C20" s="3"/>
      <c r="D20" s="3">
        <v>81373.48</v>
      </c>
      <c r="E20" s="3"/>
      <c r="F20" s="3">
        <v>38520.199999999997</v>
      </c>
      <c r="G20" s="3"/>
      <c r="H20" s="3">
        <v>0</v>
      </c>
      <c r="I20" s="3"/>
      <c r="J20" s="3">
        <v>0</v>
      </c>
      <c r="K20" s="3"/>
      <c r="L20" s="3">
        <v>4800</v>
      </c>
      <c r="M20" s="3"/>
      <c r="N20" s="3">
        <v>17018.189999999999</v>
      </c>
      <c r="P20" s="14">
        <f>SUM(F21/(SUM(B21:J21)))</f>
        <v>-4.5589960248994629E-2</v>
      </c>
      <c r="Q20" s="1" t="s">
        <v>18</v>
      </c>
      <c r="R20">
        <v>170.37</v>
      </c>
      <c r="S20" s="3">
        <f t="shared" si="0"/>
        <v>-7.7671615276212149</v>
      </c>
    </row>
    <row r="21" spans="1:21" x14ac:dyDescent="0.2">
      <c r="A21" s="1" t="s">
        <v>10</v>
      </c>
      <c r="B21" s="3">
        <f>SUM(B18+B19-B20)</f>
        <v>878919.15000000014</v>
      </c>
      <c r="C21" s="3"/>
      <c r="D21" s="3">
        <f>SUM(D18+D19-D20)</f>
        <v>273576.25</v>
      </c>
      <c r="E21" s="3"/>
      <c r="F21" s="3">
        <f>SUM(F18+F19-F20)</f>
        <v>-62895.579999999994</v>
      </c>
      <c r="G21" s="3"/>
      <c r="H21" s="3">
        <f>SUM(H18+H19-H20)</f>
        <v>157090.99000000002</v>
      </c>
      <c r="I21" s="3"/>
      <c r="J21" s="3">
        <f>SUM(J18+J19-J20)</f>
        <v>132901.97</v>
      </c>
      <c r="K21" s="3"/>
      <c r="L21" s="3">
        <f>SUM(L18+L19-L20)</f>
        <v>-4800</v>
      </c>
      <c r="M21" s="3"/>
      <c r="N21" s="3">
        <f>SUM(N18+N19-N20)</f>
        <v>12246.110000000004</v>
      </c>
      <c r="P21" s="14">
        <f>SUM(H21/(SUM(B21:J21)))</f>
        <v>0.11386765158338971</v>
      </c>
      <c r="Q21" s="1" t="s">
        <v>19</v>
      </c>
      <c r="R21">
        <v>170.37</v>
      </c>
      <c r="S21" s="3">
        <f t="shared" si="0"/>
        <v>19.399631800262107</v>
      </c>
    </row>
    <row r="22" spans="1:21" x14ac:dyDescent="0.2">
      <c r="A22" s="4">
        <v>40483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4">
        <f>SUM(J21/(SUM(B21:J21)))</f>
        <v>9.6334202328893018E-2</v>
      </c>
      <c r="Q22" s="1" t="s">
        <v>20</v>
      </c>
      <c r="R22">
        <v>170.37</v>
      </c>
      <c r="S22" s="3">
        <f t="shared" si="0"/>
        <v>16.412458050773505</v>
      </c>
      <c r="T22">
        <v>112.06</v>
      </c>
      <c r="U22" s="3">
        <f>SUM(T22*0.03)</f>
        <v>3.3618000000000001</v>
      </c>
    </row>
    <row r="23" spans="1:21" x14ac:dyDescent="0.2">
      <c r="A23" s="1" t="s">
        <v>7</v>
      </c>
      <c r="B23" s="3">
        <v>878919.15</v>
      </c>
      <c r="C23" s="3"/>
      <c r="D23" s="3">
        <v>273576.25</v>
      </c>
      <c r="E23" s="3"/>
      <c r="F23" s="3">
        <v>-62895.58</v>
      </c>
      <c r="G23" s="3"/>
      <c r="H23" s="3">
        <v>157090.99</v>
      </c>
      <c r="I23" s="3"/>
      <c r="J23" s="3">
        <v>132901.97</v>
      </c>
      <c r="K23" s="3"/>
      <c r="L23" s="3">
        <v>-4800</v>
      </c>
      <c r="M23" s="3"/>
      <c r="N23" s="3">
        <v>12246.11</v>
      </c>
      <c r="P23" s="14">
        <f>SUM(B26/(SUM(B26:J26)))</f>
        <v>0.53620250088355215</v>
      </c>
      <c r="Q23" s="1" t="s">
        <v>16</v>
      </c>
      <c r="R23">
        <v>250.49</v>
      </c>
      <c r="S23" s="3">
        <f t="shared" si="0"/>
        <v>134.31336444632097</v>
      </c>
      <c r="T23">
        <v>1052.5899999999999</v>
      </c>
      <c r="U23" s="3">
        <f>SUM(T23*0.34)</f>
        <v>357.88060000000002</v>
      </c>
    </row>
    <row r="24" spans="1:21" x14ac:dyDescent="0.2">
      <c r="A24" s="5" t="s">
        <v>8</v>
      </c>
      <c r="B24" s="3">
        <v>93651.97</v>
      </c>
      <c r="C24" s="3"/>
      <c r="D24" s="3">
        <v>361085.3</v>
      </c>
      <c r="E24" s="3"/>
      <c r="F24" s="3">
        <v>78202.13</v>
      </c>
      <c r="G24" s="3"/>
      <c r="H24" s="3">
        <v>16108.54</v>
      </c>
      <c r="I24" s="3"/>
      <c r="J24" s="3">
        <v>49936.43</v>
      </c>
      <c r="K24" s="3"/>
      <c r="L24" s="3">
        <v>1300000.3799999999</v>
      </c>
      <c r="M24" s="3"/>
      <c r="N24" s="3">
        <v>18820.45</v>
      </c>
      <c r="P24" s="14">
        <f>SUM(D26/(SUM(B26:J26)))</f>
        <v>0.23800787115196001</v>
      </c>
      <c r="Q24" s="1" t="s">
        <v>17</v>
      </c>
      <c r="R24">
        <v>250.49</v>
      </c>
      <c r="S24" s="3">
        <f t="shared" si="0"/>
        <v>59.618591644854462</v>
      </c>
      <c r="T24">
        <v>1052.5899999999999</v>
      </c>
      <c r="U24" s="3">
        <f>SUM(T24*0.63)</f>
        <v>663.13169999999991</v>
      </c>
    </row>
    <row r="25" spans="1:21" x14ac:dyDescent="0.2">
      <c r="A25" s="5" t="s">
        <v>9</v>
      </c>
      <c r="B25" s="3">
        <v>202709.28</v>
      </c>
      <c r="C25" s="3"/>
      <c r="D25" s="3">
        <v>292937.71000000002</v>
      </c>
      <c r="E25" s="3"/>
      <c r="F25" s="3">
        <v>35043.19</v>
      </c>
      <c r="G25" s="3"/>
      <c r="H25" s="3">
        <v>0</v>
      </c>
      <c r="I25" s="3"/>
      <c r="J25" s="3">
        <v>12120</v>
      </c>
      <c r="K25" s="3"/>
      <c r="L25" s="3">
        <v>0</v>
      </c>
      <c r="M25" s="3"/>
      <c r="N25" s="3">
        <v>13067.64</v>
      </c>
      <c r="P25" s="14">
        <f>SUM(F26/(SUM(B26:J26)))</f>
        <v>-1.3746409001176563E-2</v>
      </c>
      <c r="Q25" s="1" t="s">
        <v>18</v>
      </c>
      <c r="R25">
        <v>250.49</v>
      </c>
      <c r="S25" s="3">
        <f t="shared" si="0"/>
        <v>-3.4433379907047175</v>
      </c>
    </row>
    <row r="26" spans="1:21" x14ac:dyDescent="0.2">
      <c r="A26" s="1" t="s">
        <v>10</v>
      </c>
      <c r="B26" s="3">
        <f>SUM(B23+B24-B25)</f>
        <v>769861.84</v>
      </c>
      <c r="C26" s="3"/>
      <c r="D26" s="3">
        <f>SUM(D23+D24-D25)</f>
        <v>341723.84</v>
      </c>
      <c r="E26" s="3"/>
      <c r="F26" s="3">
        <f>SUM(F23+F24-F25)</f>
        <v>-19736.64</v>
      </c>
      <c r="G26" s="3"/>
      <c r="H26" s="3">
        <f>SUM(H23+H24-H25)</f>
        <v>173199.53</v>
      </c>
      <c r="I26" s="3"/>
      <c r="J26" s="3">
        <f>SUM(J23+J24-J25)</f>
        <v>170718.4</v>
      </c>
      <c r="K26" s="3"/>
      <c r="L26" s="3">
        <f>SUM(L23+L24-L25)</f>
        <v>1295200.3799999999</v>
      </c>
      <c r="M26" s="3"/>
      <c r="N26" s="3">
        <f>SUM(N23+N24-N25)</f>
        <v>17998.920000000002</v>
      </c>
      <c r="P26" s="14">
        <f>SUM(H26/(SUM(B26:J26)))</f>
        <v>0.12063206190068573</v>
      </c>
      <c r="Q26" s="1" t="s">
        <v>19</v>
      </c>
      <c r="R26">
        <v>250.49</v>
      </c>
      <c r="S26" s="3">
        <f t="shared" si="0"/>
        <v>30.21712518550277</v>
      </c>
    </row>
    <row r="27" spans="1:21" x14ac:dyDescent="0.2">
      <c r="A27" s="4">
        <v>40513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14">
        <f>SUM(J26/(SUM(B26:J26)))</f>
        <v>0.11890397506497868</v>
      </c>
      <c r="Q27" s="1" t="s">
        <v>20</v>
      </c>
      <c r="R27">
        <v>250.49</v>
      </c>
      <c r="S27" s="3">
        <f t="shared" si="0"/>
        <v>29.784256714026512</v>
      </c>
      <c r="T27">
        <v>1052.5899999999999</v>
      </c>
      <c r="U27" s="3">
        <f>SUM(T27*0.03)</f>
        <v>31.577699999999997</v>
      </c>
    </row>
    <row r="28" spans="1:21" x14ac:dyDescent="0.2">
      <c r="A28" s="1" t="s">
        <v>7</v>
      </c>
      <c r="B28" s="3">
        <v>769861.84</v>
      </c>
      <c r="C28" s="3"/>
      <c r="D28" s="3">
        <v>341723.84</v>
      </c>
      <c r="E28" s="3"/>
      <c r="F28" s="3">
        <v>-19736.64</v>
      </c>
      <c r="G28" s="3"/>
      <c r="H28" s="3">
        <v>173199.53</v>
      </c>
      <c r="I28" s="3"/>
      <c r="J28" s="3">
        <v>170718.4</v>
      </c>
      <c r="K28" s="3"/>
      <c r="L28" s="3">
        <v>1295200.3799999999</v>
      </c>
      <c r="M28" s="3"/>
      <c r="N28" s="3">
        <v>17998.919999999998</v>
      </c>
      <c r="P28" s="14">
        <f>SUM(B31/(SUM(B31:J31)))</f>
        <v>0.50498240546812101</v>
      </c>
      <c r="Q28" s="1" t="s">
        <v>16</v>
      </c>
      <c r="R28">
        <v>401.47</v>
      </c>
      <c r="S28" s="3">
        <f t="shared" si="0"/>
        <v>202.73528632328654</v>
      </c>
      <c r="T28">
        <v>1657.53</v>
      </c>
      <c r="U28" s="3">
        <f>SUM(T28*0.34)</f>
        <v>563.56020000000001</v>
      </c>
    </row>
    <row r="29" spans="1:21" x14ac:dyDescent="0.2">
      <c r="A29" s="5" t="s">
        <v>8</v>
      </c>
      <c r="B29" s="3">
        <v>169422.15</v>
      </c>
      <c r="C29" s="3"/>
      <c r="D29" s="3">
        <v>45099.45</v>
      </c>
      <c r="E29" s="3"/>
      <c r="F29" s="3">
        <v>22240.65</v>
      </c>
      <c r="G29" s="3"/>
      <c r="H29" s="3">
        <v>4510.58</v>
      </c>
      <c r="I29" s="3"/>
      <c r="J29" s="3">
        <v>13983.58</v>
      </c>
      <c r="K29" s="3"/>
      <c r="L29" s="3">
        <v>4800</v>
      </c>
      <c r="M29" s="3"/>
      <c r="N29" s="3">
        <v>16925.75</v>
      </c>
      <c r="P29" s="14">
        <f>SUM(D31/(SUM(B31:J31)))</f>
        <v>0.26691582440555306</v>
      </c>
      <c r="Q29" s="1" t="s">
        <v>17</v>
      </c>
      <c r="R29">
        <v>401.47</v>
      </c>
      <c r="S29" s="3">
        <f t="shared" si="0"/>
        <v>107.1586960240974</v>
      </c>
      <c r="T29">
        <v>1657.53</v>
      </c>
      <c r="U29" s="3">
        <f>SUM(T29*0.63)</f>
        <v>1044.2438999999999</v>
      </c>
    </row>
    <row r="30" spans="1:21" x14ac:dyDescent="0.2">
      <c r="A30" s="5" t="s">
        <v>9</v>
      </c>
      <c r="B30" s="3">
        <v>213685.76000000001</v>
      </c>
      <c r="C30" s="3"/>
      <c r="D30" s="3">
        <v>3297.75</v>
      </c>
      <c r="E30" s="3"/>
      <c r="F30" s="3">
        <v>32811.629999999997</v>
      </c>
      <c r="G30" s="3"/>
      <c r="H30" s="3">
        <v>4350</v>
      </c>
      <c r="I30" s="3"/>
      <c r="J30" s="3">
        <v>0</v>
      </c>
      <c r="K30" s="3"/>
      <c r="L30" s="3">
        <v>0</v>
      </c>
      <c r="M30" s="3"/>
      <c r="N30" s="3">
        <v>14423.15</v>
      </c>
      <c r="P30" s="14">
        <f>SUM(F31/(SUM(B31:J31)))</f>
        <v>-2.1092684930631284E-2</v>
      </c>
      <c r="Q30" s="1" t="s">
        <v>18</v>
      </c>
      <c r="R30">
        <v>401.47</v>
      </c>
      <c r="S30" s="3">
        <f t="shared" si="0"/>
        <v>-8.4680802191005426</v>
      </c>
    </row>
    <row r="31" spans="1:21" x14ac:dyDescent="0.2">
      <c r="A31" s="1" t="s">
        <v>10</v>
      </c>
      <c r="B31" s="3">
        <f>SUM(B28+B29-B30)</f>
        <v>725598.23</v>
      </c>
      <c r="C31" s="3"/>
      <c r="D31" s="3">
        <f>SUM(D28+D29-D30)</f>
        <v>383525.54000000004</v>
      </c>
      <c r="E31" s="3"/>
      <c r="F31" s="3">
        <f>SUM(F28+F29-F30)</f>
        <v>-30307.619999999995</v>
      </c>
      <c r="G31" s="3"/>
      <c r="H31" s="3">
        <f>SUM(H28+H29-H30)</f>
        <v>173360.11</v>
      </c>
      <c r="I31" s="3"/>
      <c r="J31" s="3">
        <f>SUM(J28+J29-J30)</f>
        <v>184701.97999999998</v>
      </c>
      <c r="K31" s="3"/>
      <c r="L31" s="3">
        <f>SUM(L28+L29-L30)</f>
        <v>1300000.3799999999</v>
      </c>
      <c r="M31" s="3"/>
      <c r="N31" s="3">
        <f>SUM(N28+N29-N30)</f>
        <v>20501.519999999997</v>
      </c>
      <c r="P31" s="14">
        <f>SUM(H31/(SUM(B31:J31)))</f>
        <v>0.12065052220430314</v>
      </c>
      <c r="Q31" s="1" t="s">
        <v>19</v>
      </c>
      <c r="R31">
        <v>401.47</v>
      </c>
      <c r="S31" s="3">
        <f t="shared" si="0"/>
        <v>48.437565149361582</v>
      </c>
    </row>
    <row r="32" spans="1:21" x14ac:dyDescent="0.2">
      <c r="A32" s="4">
        <v>40544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14">
        <f>SUM(J31/(SUM(B31:J31)))</f>
        <v>0.12854393285265425</v>
      </c>
      <c r="Q32" s="1" t="s">
        <v>20</v>
      </c>
      <c r="R32">
        <v>401.47</v>
      </c>
      <c r="S32" s="3">
        <f t="shared" si="0"/>
        <v>51.606532722355105</v>
      </c>
      <c r="T32">
        <v>1657.53</v>
      </c>
      <c r="U32" s="3">
        <f>SUM(T32*0.03)</f>
        <v>49.725899999999996</v>
      </c>
    </row>
    <row r="33" spans="1:21" x14ac:dyDescent="0.2">
      <c r="A33" s="1" t="s">
        <v>7</v>
      </c>
      <c r="B33" s="3">
        <v>725598.23</v>
      </c>
      <c r="C33" s="3"/>
      <c r="D33" s="3">
        <v>383525.54</v>
      </c>
      <c r="E33" s="3"/>
      <c r="F33" s="3">
        <v>-30307.62</v>
      </c>
      <c r="G33" s="3"/>
      <c r="H33" s="3">
        <v>173360.11</v>
      </c>
      <c r="I33" s="3"/>
      <c r="J33" s="3">
        <v>184701.98</v>
      </c>
      <c r="K33" s="3"/>
      <c r="L33" s="3">
        <v>1300000.3799999999</v>
      </c>
      <c r="M33" s="3"/>
      <c r="N33" s="3">
        <v>20501.52</v>
      </c>
      <c r="P33" s="14">
        <f>SUM(B36/(SUM(B36:J36)))</f>
        <v>0.51463384380379729</v>
      </c>
      <c r="Q33" s="1" t="s">
        <v>16</v>
      </c>
      <c r="R33">
        <v>389.32</v>
      </c>
      <c r="S33" s="3">
        <f t="shared" si="0"/>
        <v>200.35724806969435</v>
      </c>
      <c r="T33">
        <v>1009.12</v>
      </c>
      <c r="U33" s="3">
        <f>SUM(T33*0.34)</f>
        <v>343.10080000000005</v>
      </c>
    </row>
    <row r="34" spans="1:21" x14ac:dyDescent="0.2">
      <c r="A34" s="5" t="s">
        <v>8</v>
      </c>
      <c r="B34" s="3">
        <v>181319.57</v>
      </c>
      <c r="C34" s="3"/>
      <c r="D34" s="3">
        <v>2280.7199999999998</v>
      </c>
      <c r="E34" s="3"/>
      <c r="F34" s="3">
        <v>3552.57</v>
      </c>
      <c r="G34" s="3"/>
      <c r="H34" s="3">
        <v>228.07</v>
      </c>
      <c r="I34" s="3"/>
      <c r="J34" s="3">
        <v>707.02</v>
      </c>
      <c r="K34" s="3"/>
      <c r="L34" s="3">
        <v>0</v>
      </c>
      <c r="M34" s="3"/>
      <c r="N34" s="3">
        <v>16008.42</v>
      </c>
      <c r="P34" s="14">
        <f>SUM(D36/(SUM(B36:J36)))</f>
        <v>0.27136337395726379</v>
      </c>
      <c r="Q34" s="1" t="s">
        <v>17</v>
      </c>
      <c r="R34">
        <v>389.32</v>
      </c>
      <c r="S34" s="3">
        <f t="shared" si="0"/>
        <v>105.64718874904193</v>
      </c>
      <c r="T34">
        <v>1009.12</v>
      </c>
      <c r="U34" s="3">
        <f>SUM(T34*0.63)</f>
        <v>635.74559999999997</v>
      </c>
    </row>
    <row r="35" spans="1:21" x14ac:dyDescent="0.2">
      <c r="A35" s="5" t="s">
        <v>9</v>
      </c>
      <c r="B35" s="3">
        <v>187287.67</v>
      </c>
      <c r="C35" s="3"/>
      <c r="D35" s="3">
        <v>6349.56</v>
      </c>
      <c r="E35" s="3"/>
      <c r="F35" s="3">
        <v>32994.71</v>
      </c>
      <c r="G35" s="3"/>
      <c r="H35" s="3">
        <v>0</v>
      </c>
      <c r="I35" s="3"/>
      <c r="J35" s="3">
        <v>0</v>
      </c>
      <c r="K35" s="3"/>
      <c r="L35" s="3">
        <v>27298.080000000002</v>
      </c>
      <c r="M35" s="3"/>
      <c r="N35" s="3">
        <v>10311.950000000001</v>
      </c>
      <c r="P35" s="14">
        <f>SUM(F36/(SUM(B36:J36)))</f>
        <v>-4.2729240165575576E-2</v>
      </c>
      <c r="Q35" s="1" t="s">
        <v>18</v>
      </c>
      <c r="R35">
        <v>389.32</v>
      </c>
      <c r="S35" s="3">
        <f t="shared" si="0"/>
        <v>-16.635347781261881</v>
      </c>
    </row>
    <row r="36" spans="1:21" x14ac:dyDescent="0.2">
      <c r="A36" s="1" t="s">
        <v>10</v>
      </c>
      <c r="B36" s="3">
        <f>SUM(B33+B34-B35)</f>
        <v>719630.13</v>
      </c>
      <c r="C36" s="3"/>
      <c r="D36" s="3">
        <f>SUM(D33+D34-D35)</f>
        <v>379456.69999999995</v>
      </c>
      <c r="E36" s="3"/>
      <c r="F36" s="3">
        <f>SUM(F33+F34-F35)</f>
        <v>-59749.759999999995</v>
      </c>
      <c r="G36" s="3"/>
      <c r="H36" s="3">
        <f>SUM(H33+H34-H35)</f>
        <v>173588.18</v>
      </c>
      <c r="I36" s="3"/>
      <c r="J36" s="3">
        <f>SUM(J33+J34-J35)</f>
        <v>185409</v>
      </c>
      <c r="K36" s="3"/>
      <c r="L36" s="3">
        <f>SUM(L33+L34-L35)</f>
        <v>1272702.2999999998</v>
      </c>
      <c r="M36" s="3"/>
      <c r="N36" s="3">
        <f>SUM(N33+N34-N35)</f>
        <v>26197.99</v>
      </c>
      <c r="P36" s="14">
        <f>SUM(H36/(SUM(B36:J36)))</f>
        <v>0.12413926069535949</v>
      </c>
      <c r="Q36" s="1" t="s">
        <v>19</v>
      </c>
      <c r="R36">
        <v>389.32</v>
      </c>
      <c r="S36" s="3">
        <f t="shared" si="0"/>
        <v>48.329896973917357</v>
      </c>
    </row>
    <row r="37" spans="1:21" x14ac:dyDescent="0.2">
      <c r="A37" s="4">
        <v>40575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14">
        <f>SUM(J36/(SUM(B36:J36)))</f>
        <v>0.13259276170915502</v>
      </c>
      <c r="Q37" s="1" t="s">
        <v>20</v>
      </c>
      <c r="R37">
        <v>389.32</v>
      </c>
      <c r="S37" s="3">
        <f t="shared" si="0"/>
        <v>51.621013988608233</v>
      </c>
      <c r="T37">
        <v>1009.12</v>
      </c>
      <c r="U37" s="3">
        <f>SUM(T37*0.03)</f>
        <v>30.273599999999998</v>
      </c>
    </row>
    <row r="38" spans="1:21" x14ac:dyDescent="0.2">
      <c r="A38" s="1" t="s">
        <v>7</v>
      </c>
      <c r="B38" s="3">
        <v>719630.13</v>
      </c>
      <c r="C38" s="3"/>
      <c r="D38" s="3">
        <v>379456.7</v>
      </c>
      <c r="E38" s="3"/>
      <c r="F38" s="3">
        <v>-59749.760000000002</v>
      </c>
      <c r="G38" s="3"/>
      <c r="H38" s="3">
        <v>173588.18</v>
      </c>
      <c r="I38" s="3"/>
      <c r="J38" s="3">
        <v>185409</v>
      </c>
      <c r="K38" s="3"/>
      <c r="L38" s="3">
        <v>1272702.3</v>
      </c>
      <c r="M38" s="3"/>
      <c r="N38" s="3">
        <v>26197.99</v>
      </c>
      <c r="P38" s="14">
        <f>SUM(B41/(SUM(B41:J41)))</f>
        <v>0.46987142971195051</v>
      </c>
      <c r="Q38" s="1" t="s">
        <v>16</v>
      </c>
      <c r="R38">
        <v>344.8</v>
      </c>
      <c r="S38" s="3">
        <f t="shared" si="0"/>
        <v>162.01166896468055</v>
      </c>
      <c r="T38">
        <v>150.22</v>
      </c>
      <c r="U38" s="3">
        <f>SUM(T38*0.34)</f>
        <v>51.074800000000003</v>
      </c>
    </row>
    <row r="39" spans="1:21" x14ac:dyDescent="0.2">
      <c r="A39" s="5" t="s">
        <v>8</v>
      </c>
      <c r="B39" s="3">
        <v>123117.82</v>
      </c>
      <c r="C39" s="3"/>
      <c r="D39" s="3">
        <v>12840.61</v>
      </c>
      <c r="E39" s="3"/>
      <c r="F39" s="3">
        <v>75960.42</v>
      </c>
      <c r="G39" s="3"/>
      <c r="H39" s="3">
        <v>1284.07</v>
      </c>
      <c r="I39" s="3"/>
      <c r="J39" s="3">
        <v>3709.96</v>
      </c>
      <c r="K39" s="3"/>
      <c r="L39" s="3">
        <v>0</v>
      </c>
      <c r="M39" s="3"/>
      <c r="N39" s="3">
        <v>24758.1</v>
      </c>
      <c r="P39" s="14">
        <f>SUM(D41/(SUM(B41:J41)))</f>
        <v>0.27984533024258273</v>
      </c>
      <c r="Q39" s="1" t="s">
        <v>17</v>
      </c>
      <c r="R39">
        <v>344.8</v>
      </c>
      <c r="S39" s="3">
        <f t="shared" si="0"/>
        <v>96.490669867642524</v>
      </c>
      <c r="T39">
        <v>150.22</v>
      </c>
      <c r="U39" s="3">
        <f>SUM(T39*0.63)</f>
        <v>94.638599999999997</v>
      </c>
    </row>
    <row r="40" spans="1:21" x14ac:dyDescent="0.2">
      <c r="A40" s="5" t="s">
        <v>9</v>
      </c>
      <c r="B40" s="3">
        <v>194115.96</v>
      </c>
      <c r="C40" s="3"/>
      <c r="D40" s="3">
        <v>5986.03</v>
      </c>
      <c r="E40" s="3"/>
      <c r="F40" s="3">
        <v>34699.449999999997</v>
      </c>
      <c r="G40" s="3"/>
      <c r="H40" s="3">
        <v>0</v>
      </c>
      <c r="I40" s="3"/>
      <c r="J40" s="3">
        <v>0</v>
      </c>
      <c r="K40" s="3"/>
      <c r="L40" s="3">
        <v>14500</v>
      </c>
      <c r="M40" s="3"/>
      <c r="N40" s="3">
        <v>20705.169999999998</v>
      </c>
      <c r="P40" s="14">
        <f>SUM(F41/(SUM(B41:J41)))</f>
        <v>-1.3393348346793709E-2</v>
      </c>
      <c r="Q40" s="1" t="s">
        <v>18</v>
      </c>
      <c r="R40">
        <v>344.8</v>
      </c>
      <c r="S40" s="3">
        <f t="shared" si="0"/>
        <v>-4.6180265099744711</v>
      </c>
    </row>
    <row r="41" spans="1:21" x14ac:dyDescent="0.2">
      <c r="A41" s="1" t="s">
        <v>10</v>
      </c>
      <c r="B41" s="3">
        <f>SUM(B38+B39-B40)</f>
        <v>648631.99</v>
      </c>
      <c r="C41" s="3"/>
      <c r="D41" s="3">
        <f>SUM(D38+D39-D40)</f>
        <v>386311.27999999997</v>
      </c>
      <c r="E41" s="3"/>
      <c r="F41" s="3">
        <f>SUM(F38+F39-F40)</f>
        <v>-18488.79</v>
      </c>
      <c r="G41" s="3"/>
      <c r="H41" s="3">
        <f>SUM(H38+H39-H40)</f>
        <v>174872.25</v>
      </c>
      <c r="I41" s="3"/>
      <c r="J41" s="3">
        <f>SUM(J38+J39-J40)</f>
        <v>189118.96</v>
      </c>
      <c r="K41" s="3"/>
      <c r="L41" s="3">
        <f>SUM(L38+L39-L40)</f>
        <v>1258202.3</v>
      </c>
      <c r="M41" s="3"/>
      <c r="N41" s="3">
        <f>SUM(N38+N39-N40)</f>
        <v>30250.92</v>
      </c>
      <c r="P41" s="14">
        <f>SUM(H41/(SUM(B41:J41)))</f>
        <v>0.12667810929961323</v>
      </c>
      <c r="Q41" s="1" t="s">
        <v>19</v>
      </c>
      <c r="R41">
        <v>344.8</v>
      </c>
      <c r="S41" s="3">
        <f t="shared" si="0"/>
        <v>43.678612086506647</v>
      </c>
    </row>
    <row r="42" spans="1:21" x14ac:dyDescent="0.2">
      <c r="A42" s="4">
        <v>40603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>
        <f>SUM(J41/(SUM(B41:J41)))</f>
        <v>0.13699847909264726</v>
      </c>
      <c r="Q42" s="1" t="s">
        <v>20</v>
      </c>
      <c r="R42">
        <v>344.8</v>
      </c>
      <c r="S42" s="3">
        <f t="shared" si="0"/>
        <v>47.237075591144773</v>
      </c>
      <c r="T42">
        <v>150.22</v>
      </c>
      <c r="U42" s="3">
        <f>SUM(T42*0.03)</f>
        <v>4.5065999999999997</v>
      </c>
    </row>
    <row r="43" spans="1:21" x14ac:dyDescent="0.2">
      <c r="A43" s="1" t="s">
        <v>7</v>
      </c>
      <c r="B43" s="3">
        <v>648631.99</v>
      </c>
      <c r="C43" s="3"/>
      <c r="D43" s="3">
        <v>386311.28</v>
      </c>
      <c r="E43" s="3"/>
      <c r="F43" s="3">
        <v>-18488.79</v>
      </c>
      <c r="G43" s="3"/>
      <c r="H43" s="3">
        <v>174872.25</v>
      </c>
      <c r="I43" s="3"/>
      <c r="J43" s="3">
        <v>189118.96</v>
      </c>
      <c r="K43" s="3"/>
      <c r="L43" s="3">
        <v>1258202.3</v>
      </c>
      <c r="M43" s="3"/>
      <c r="N43" s="3">
        <v>30250.92</v>
      </c>
      <c r="P43" s="14">
        <f>SUM(B46/(SUM(B46:J46)))</f>
        <v>0.43621817154862508</v>
      </c>
      <c r="Q43" s="1" t="s">
        <v>16</v>
      </c>
      <c r="R43">
        <v>367.83</v>
      </c>
      <c r="S43" s="3">
        <f t="shared" si="0"/>
        <v>160.45413004073075</v>
      </c>
      <c r="T43">
        <v>147.78</v>
      </c>
      <c r="U43" s="3">
        <f>SUM(T43*0.34)</f>
        <v>50.245200000000004</v>
      </c>
    </row>
    <row r="44" spans="1:21" x14ac:dyDescent="0.2">
      <c r="A44" s="5" t="s">
        <v>8</v>
      </c>
      <c r="B44" s="3">
        <v>87799.94</v>
      </c>
      <c r="C44" s="3"/>
      <c r="D44" s="3">
        <v>4657.28</v>
      </c>
      <c r="E44" s="3"/>
      <c r="F44" s="3">
        <v>4139.2</v>
      </c>
      <c r="G44" s="3"/>
      <c r="H44" s="3">
        <v>465.72</v>
      </c>
      <c r="I44" s="3"/>
      <c r="J44" s="3">
        <v>1344.4</v>
      </c>
      <c r="K44" s="3"/>
      <c r="L44" s="3">
        <v>0</v>
      </c>
      <c r="M44" s="3"/>
      <c r="N44" s="3">
        <v>19891.91</v>
      </c>
      <c r="P44" s="14">
        <f>SUM(D46/(SUM(B46:J46)))</f>
        <v>0.30877805219511201</v>
      </c>
      <c r="Q44" s="1" t="s">
        <v>17</v>
      </c>
      <c r="R44">
        <v>367.83</v>
      </c>
      <c r="S44" s="3">
        <f t="shared" si="0"/>
        <v>113.57783093892805</v>
      </c>
      <c r="T44">
        <v>147.78</v>
      </c>
      <c r="U44" s="3">
        <f>SUM(T44*0.63)</f>
        <v>93.101399999999998</v>
      </c>
    </row>
    <row r="45" spans="1:21" x14ac:dyDescent="0.2">
      <c r="A45" s="5" t="s">
        <v>9</v>
      </c>
      <c r="B45" s="3">
        <v>192790.34</v>
      </c>
      <c r="C45" s="3"/>
      <c r="D45" s="3">
        <v>6150.59</v>
      </c>
      <c r="E45" s="3"/>
      <c r="F45" s="3">
        <v>33650.54</v>
      </c>
      <c r="G45" s="3"/>
      <c r="H45" s="3">
        <v>0</v>
      </c>
      <c r="I45" s="3"/>
      <c r="J45" s="3">
        <v>0</v>
      </c>
      <c r="K45" s="3"/>
      <c r="L45" s="3">
        <v>0</v>
      </c>
      <c r="M45" s="3"/>
      <c r="N45" s="3">
        <v>17309.189999999999</v>
      </c>
      <c r="P45" s="14">
        <f>SUM(F46/(SUM(B46:J46)))</f>
        <v>-3.8515318415385233E-2</v>
      </c>
      <c r="Q45" s="1" t="s">
        <v>18</v>
      </c>
      <c r="R45">
        <v>367.83</v>
      </c>
      <c r="S45" s="3">
        <f t="shared" si="0"/>
        <v>-14.16708957273115</v>
      </c>
    </row>
    <row r="46" spans="1:21" x14ac:dyDescent="0.2">
      <c r="A46" s="1" t="s">
        <v>10</v>
      </c>
      <c r="B46" s="3">
        <f>SUM(B43+B44-B45)</f>
        <v>543641.59</v>
      </c>
      <c r="C46" s="3"/>
      <c r="D46" s="3">
        <f>SUM(D43+D44-D45)</f>
        <v>384817.97000000003</v>
      </c>
      <c r="E46" s="3"/>
      <c r="F46" s="3">
        <f>SUM(F43+F44-F45)</f>
        <v>-48000.130000000005</v>
      </c>
      <c r="G46" s="3"/>
      <c r="H46" s="3">
        <f>SUM(H43+H44-H45)</f>
        <v>175337.97</v>
      </c>
      <c r="I46" s="3"/>
      <c r="J46" s="3">
        <f>SUM(J43+J44-J45)</f>
        <v>190463.35999999999</v>
      </c>
      <c r="K46" s="3"/>
      <c r="L46" s="3">
        <f>SUM(L43+L44-L45)</f>
        <v>1258202.3</v>
      </c>
      <c r="M46" s="3"/>
      <c r="N46" s="3">
        <f>SUM(N43+N44-N45)</f>
        <v>32833.64</v>
      </c>
      <c r="P46" s="14">
        <f>SUM(H46/(SUM(B46:J46)))</f>
        <v>0.14069123864575497</v>
      </c>
      <c r="Q46" s="1" t="s">
        <v>19</v>
      </c>
      <c r="R46">
        <v>367.83</v>
      </c>
      <c r="S46" s="3">
        <f t="shared" si="0"/>
        <v>51.750458311068051</v>
      </c>
    </row>
    <row r="47" spans="1:21" x14ac:dyDescent="0.2">
      <c r="A47" s="4">
        <v>40634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14">
        <f>SUM(J46/(SUM(B46:J46)))</f>
        <v>0.15282785602589297</v>
      </c>
      <c r="Q47" s="1" t="s">
        <v>20</v>
      </c>
      <c r="R47">
        <v>367.83</v>
      </c>
      <c r="S47" s="3">
        <f t="shared" si="0"/>
        <v>56.214670282004207</v>
      </c>
      <c r="T47">
        <v>147.78</v>
      </c>
      <c r="U47" s="3">
        <f>SUM(T47*0.03)</f>
        <v>4.4333999999999998</v>
      </c>
    </row>
    <row r="48" spans="1:21" x14ac:dyDescent="0.2">
      <c r="A48" s="1" t="s">
        <v>7</v>
      </c>
      <c r="B48" s="3">
        <v>543641.59</v>
      </c>
      <c r="C48" s="3"/>
      <c r="D48" s="3">
        <v>384817.97</v>
      </c>
      <c r="E48" s="3"/>
      <c r="F48" s="3">
        <v>-48000.13</v>
      </c>
      <c r="G48" s="3"/>
      <c r="H48" s="3">
        <v>175337.97</v>
      </c>
      <c r="I48" s="3"/>
      <c r="J48" s="3">
        <v>190463.35999999999</v>
      </c>
      <c r="K48" s="3"/>
      <c r="L48" s="3">
        <v>1258202.3</v>
      </c>
      <c r="M48" s="3"/>
      <c r="N48" s="3">
        <v>32833.64</v>
      </c>
      <c r="P48" s="14">
        <f>SUM(B51/(SUM(B51:J51)))</f>
        <v>0.46286838955332477</v>
      </c>
      <c r="Q48" s="1" t="s">
        <v>16</v>
      </c>
      <c r="R48">
        <v>333.35</v>
      </c>
      <c r="S48" s="3">
        <f t="shared" si="0"/>
        <v>154.29717765760083</v>
      </c>
      <c r="T48">
        <v>86.01</v>
      </c>
      <c r="U48" s="3">
        <f>SUM(T48*0.34)</f>
        <v>29.243400000000005</v>
      </c>
    </row>
    <row r="49" spans="1:21" x14ac:dyDescent="0.2">
      <c r="A49" s="5" t="s">
        <v>8</v>
      </c>
      <c r="B49" s="3">
        <v>191520.62</v>
      </c>
      <c r="C49" s="3"/>
      <c r="D49" s="3">
        <v>8799.41</v>
      </c>
      <c r="E49" s="3"/>
      <c r="F49" s="3">
        <v>5000.9799999999996</v>
      </c>
      <c r="G49" s="3"/>
      <c r="H49" s="3">
        <v>879.94</v>
      </c>
      <c r="I49" s="3"/>
      <c r="J49" s="3">
        <v>2542.02</v>
      </c>
      <c r="K49" s="3"/>
      <c r="L49" s="3">
        <v>0</v>
      </c>
      <c r="M49" s="3"/>
      <c r="N49" s="3">
        <v>9620</v>
      </c>
      <c r="P49" s="14">
        <f>SUM(D51/(SUM(B51:J51)))</f>
        <v>0.28197960297047431</v>
      </c>
      <c r="Q49" s="1" t="s">
        <v>17</v>
      </c>
      <c r="R49">
        <v>333.35</v>
      </c>
      <c r="S49" s="3">
        <f t="shared" si="0"/>
        <v>93.997900650207612</v>
      </c>
      <c r="T49">
        <v>86.01</v>
      </c>
      <c r="U49" s="3">
        <f>SUM(T49*0.63)</f>
        <v>54.186300000000003</v>
      </c>
    </row>
    <row r="50" spans="1:21" x14ac:dyDescent="0.2">
      <c r="A50" s="5" t="s">
        <v>9</v>
      </c>
      <c r="B50" s="3">
        <v>205431.13</v>
      </c>
      <c r="C50" s="3"/>
      <c r="D50" s="3">
        <v>70905</v>
      </c>
      <c r="E50" s="3"/>
      <c r="F50" s="3">
        <v>34214.68</v>
      </c>
      <c r="G50" s="3"/>
      <c r="H50" s="3">
        <v>0</v>
      </c>
      <c r="I50" s="3"/>
      <c r="J50" s="3">
        <v>0</v>
      </c>
      <c r="K50" s="3"/>
      <c r="L50" s="3">
        <v>104135.9</v>
      </c>
      <c r="M50" s="3"/>
      <c r="N50" s="3">
        <v>5243.48</v>
      </c>
      <c r="P50" s="14">
        <f>SUM(F51/(SUM(B51:J51)))</f>
        <v>-6.7467895490187571E-2</v>
      </c>
      <c r="Q50" s="1" t="s">
        <v>18</v>
      </c>
      <c r="R50">
        <v>333.35</v>
      </c>
      <c r="S50" s="3">
        <f t="shared" si="0"/>
        <v>-22.49042296165403</v>
      </c>
    </row>
    <row r="51" spans="1:21" x14ac:dyDescent="0.2">
      <c r="A51" s="1" t="s">
        <v>10</v>
      </c>
      <c r="B51" s="3">
        <f>SUM(B48+B49-B50)</f>
        <v>529731.07999999996</v>
      </c>
      <c r="C51" s="3"/>
      <c r="D51" s="3">
        <f>SUM(D48+D49-D50)</f>
        <v>322712.37999999995</v>
      </c>
      <c r="E51" s="3"/>
      <c r="F51" s="3">
        <f>SUM(F48+F49-F50)</f>
        <v>-77213.829999999987</v>
      </c>
      <c r="G51" s="3"/>
      <c r="H51" s="3">
        <f>SUM(H48+H49-H50)</f>
        <v>176217.91</v>
      </c>
      <c r="I51" s="3"/>
      <c r="J51" s="3">
        <f>SUM(J48+J49-J50)</f>
        <v>193005.37999999998</v>
      </c>
      <c r="K51" s="3"/>
      <c r="L51" s="3">
        <f>SUM(L48+L49-L50)</f>
        <v>1154066.4000000001</v>
      </c>
      <c r="M51" s="3"/>
      <c r="N51" s="3">
        <f>SUM(N48+N49-N50)</f>
        <v>37210.160000000003</v>
      </c>
      <c r="P51" s="14">
        <f>SUM(H51/(SUM(B51:J51)))</f>
        <v>0.1539756742461717</v>
      </c>
      <c r="Q51" s="1" t="s">
        <v>19</v>
      </c>
      <c r="R51">
        <v>333.35</v>
      </c>
      <c r="S51" s="3">
        <f t="shared" si="0"/>
        <v>51.327791009961338</v>
      </c>
    </row>
    <row r="52" spans="1:21" x14ac:dyDescent="0.2">
      <c r="A52" s="4">
        <v>40664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4">
        <f>SUM(J51/(SUM(B51:J51)))</f>
        <v>0.16864422872021681</v>
      </c>
      <c r="Q52" s="1" t="s">
        <v>20</v>
      </c>
      <c r="R52">
        <v>333.35</v>
      </c>
      <c r="S52" s="3">
        <f t="shared" si="0"/>
        <v>56.21755364388428</v>
      </c>
      <c r="T52">
        <v>86.01</v>
      </c>
      <c r="U52" s="3">
        <f>SUM(T52*0.03)</f>
        <v>2.5803000000000003</v>
      </c>
    </row>
    <row r="53" spans="1:21" x14ac:dyDescent="0.2">
      <c r="A53" s="1" t="s">
        <v>7</v>
      </c>
      <c r="B53" s="3">
        <v>529731.07999999996</v>
      </c>
      <c r="C53" s="3"/>
      <c r="D53" s="3">
        <v>322712.38</v>
      </c>
      <c r="E53" s="3"/>
      <c r="F53" s="3">
        <v>-77213.83</v>
      </c>
      <c r="G53" s="3"/>
      <c r="H53" s="3">
        <v>176217.91</v>
      </c>
      <c r="I53" s="3"/>
      <c r="J53" s="3">
        <v>193005.38</v>
      </c>
      <c r="K53" s="3"/>
      <c r="L53" s="3">
        <v>1154066.3999999999</v>
      </c>
      <c r="M53" s="3"/>
      <c r="N53" s="3">
        <v>37210.160000000003</v>
      </c>
      <c r="P53" s="14">
        <f>SUM(B56/(SUM(B56:J56)))</f>
        <v>0.48292095523931799</v>
      </c>
      <c r="Q53" s="1" t="s">
        <v>16</v>
      </c>
      <c r="R53">
        <v>376.07</v>
      </c>
      <c r="S53" s="3">
        <f t="shared" si="0"/>
        <v>181.61208363685031</v>
      </c>
      <c r="T53">
        <v>743.83</v>
      </c>
      <c r="U53" s="3">
        <f>SUM(T53*0.34)</f>
        <v>252.90220000000002</v>
      </c>
    </row>
    <row r="54" spans="1:21" x14ac:dyDescent="0.2">
      <c r="A54" s="5" t="s">
        <v>8</v>
      </c>
      <c r="B54" s="3">
        <v>475908.08</v>
      </c>
      <c r="C54" s="3"/>
      <c r="D54" s="3">
        <v>195953.1</v>
      </c>
      <c r="E54" s="3"/>
      <c r="F54" s="3">
        <v>94322.19</v>
      </c>
      <c r="G54" s="3"/>
      <c r="H54" s="3">
        <v>19595.3</v>
      </c>
      <c r="I54" s="3"/>
      <c r="J54" s="3">
        <v>56565.14</v>
      </c>
      <c r="K54" s="3"/>
      <c r="L54" s="3">
        <v>0</v>
      </c>
      <c r="M54" s="3"/>
      <c r="N54" s="3">
        <v>27293.89</v>
      </c>
      <c r="P54" s="14">
        <f>SUM(D56/(SUM(B56:J56)))</f>
        <v>0.26346381185137785</v>
      </c>
      <c r="Q54" s="1" t="s">
        <v>17</v>
      </c>
      <c r="R54">
        <v>376.07</v>
      </c>
      <c r="S54" s="3">
        <f t="shared" si="0"/>
        <v>99.080835722947668</v>
      </c>
      <c r="T54">
        <v>743.83</v>
      </c>
      <c r="U54" s="3">
        <f>SUM(T54*0.63)</f>
        <v>468.61290000000002</v>
      </c>
    </row>
    <row r="55" spans="1:21" x14ac:dyDescent="0.2">
      <c r="A55" s="5" t="s">
        <v>9</v>
      </c>
      <c r="B55" s="3">
        <v>188896.11</v>
      </c>
      <c r="C55" s="3"/>
      <c r="D55" s="3">
        <v>73080.679999999993</v>
      </c>
      <c r="E55" s="3"/>
      <c r="F55" s="3">
        <v>33563.760000000002</v>
      </c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21842.5</v>
      </c>
      <c r="P55" s="14">
        <f>SUM(F56/(SUM(B56:J56)))</f>
        <v>-9.7296909803457465E-3</v>
      </c>
      <c r="Q55" s="1" t="s">
        <v>18</v>
      </c>
      <c r="R55">
        <v>376.07</v>
      </c>
      <c r="S55" s="3">
        <f t="shared" si="0"/>
        <v>-3.659044886978625</v>
      </c>
    </row>
    <row r="56" spans="1:21" x14ac:dyDescent="0.2">
      <c r="A56" s="1" t="s">
        <v>10</v>
      </c>
      <c r="B56" s="3">
        <f>SUM(B53+B54-B55)</f>
        <v>816743.04999999993</v>
      </c>
      <c r="C56" s="3"/>
      <c r="D56" s="3">
        <f>SUM(D53+D54-D55)</f>
        <v>445584.8</v>
      </c>
      <c r="E56" s="3"/>
      <c r="F56" s="3">
        <f>SUM(F53+F54-F55)</f>
        <v>-16455.400000000001</v>
      </c>
      <c r="G56" s="3"/>
      <c r="H56" s="3">
        <f>SUM(H53+H54-H55)</f>
        <v>195813.21</v>
      </c>
      <c r="I56" s="3"/>
      <c r="J56" s="3">
        <f>SUM(J53+J54-J55)</f>
        <v>249570.52000000002</v>
      </c>
      <c r="K56" s="3"/>
      <c r="L56" s="3">
        <f>SUM(L53+L54-L55)</f>
        <v>1154066.3999999999</v>
      </c>
      <c r="M56" s="3"/>
      <c r="N56" s="3">
        <f>SUM(N53+N54-N55)</f>
        <v>42661.55</v>
      </c>
      <c r="P56" s="14">
        <f>SUM(H56/(SUM(B56:J56)))</f>
        <v>0.11577974544341355</v>
      </c>
      <c r="Q56" s="1" t="s">
        <v>19</v>
      </c>
      <c r="R56">
        <v>376.07</v>
      </c>
      <c r="S56" s="3">
        <f t="shared" si="0"/>
        <v>43.54128886890453</v>
      </c>
    </row>
    <row r="57" spans="1:21" x14ac:dyDescent="0.2">
      <c r="A57" s="4">
        <v>40695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14">
        <f>SUM(J56/(SUM(B56:J56)))</f>
        <v>0.14756517844623634</v>
      </c>
      <c r="Q57" s="1" t="s">
        <v>20</v>
      </c>
      <c r="R57">
        <v>376.07</v>
      </c>
      <c r="S57" s="3">
        <f t="shared" si="0"/>
        <v>55.4948366582761</v>
      </c>
      <c r="T57">
        <v>743.83</v>
      </c>
      <c r="U57" s="3">
        <f>SUM(T57*0.03)</f>
        <v>22.314900000000002</v>
      </c>
    </row>
    <row r="58" spans="1:21" x14ac:dyDescent="0.2">
      <c r="A58" s="1" t="s">
        <v>7</v>
      </c>
      <c r="B58" s="3">
        <v>816743.05</v>
      </c>
      <c r="C58" s="3"/>
      <c r="D58" s="3">
        <v>445584.8</v>
      </c>
      <c r="E58" s="3"/>
      <c r="F58" s="3">
        <v>-16455.400000000001</v>
      </c>
      <c r="G58" s="3"/>
      <c r="H58" s="3">
        <v>195813.21</v>
      </c>
      <c r="I58" s="3"/>
      <c r="J58" s="3">
        <v>249570.52</v>
      </c>
      <c r="K58" s="3"/>
      <c r="L58" s="3">
        <v>1154066.3999999999</v>
      </c>
      <c r="M58" s="3"/>
      <c r="N58" s="3">
        <v>42661.55</v>
      </c>
      <c r="P58" s="14">
        <f>SUM(B61/(SUM(B61:J61)))</f>
        <v>0.36698922076574142</v>
      </c>
      <c r="Q58" s="1" t="s">
        <v>16</v>
      </c>
      <c r="R58">
        <v>409.89</v>
      </c>
      <c r="S58" s="3">
        <f t="shared" si="0"/>
        <v>150.42521169966975</v>
      </c>
      <c r="T58">
        <v>1184.25</v>
      </c>
      <c r="U58" s="3">
        <f>SUM(T58*0.34)</f>
        <v>402.64500000000004</v>
      </c>
    </row>
    <row r="59" spans="1:21" x14ac:dyDescent="0.2">
      <c r="A59" s="5" t="s">
        <v>8</v>
      </c>
      <c r="B59" s="3">
        <v>181878.96</v>
      </c>
      <c r="C59" s="3"/>
      <c r="D59" s="3">
        <v>84272.67</v>
      </c>
      <c r="E59" s="3"/>
      <c r="F59" s="3">
        <v>78783.350000000006</v>
      </c>
      <c r="G59" s="3"/>
      <c r="H59" s="3">
        <v>3761.71</v>
      </c>
      <c r="I59" s="3"/>
      <c r="J59" s="3">
        <v>10859.11</v>
      </c>
      <c r="K59" s="3"/>
      <c r="L59" s="3">
        <v>0</v>
      </c>
      <c r="M59" s="3"/>
      <c r="N59" s="3">
        <v>7395.78</v>
      </c>
      <c r="P59" s="14">
        <f>SUM(D61/(SUM(B61:J61)))</f>
        <v>0.35879555980952094</v>
      </c>
      <c r="Q59" s="1" t="s">
        <v>17</v>
      </c>
      <c r="R59">
        <v>409.89</v>
      </c>
      <c r="S59" s="3">
        <f t="shared" si="0"/>
        <v>147.06671201032452</v>
      </c>
      <c r="T59">
        <v>1184.25</v>
      </c>
      <c r="U59" s="3">
        <f>SUM(T59*0.63)</f>
        <v>746.07749999999999</v>
      </c>
    </row>
    <row r="60" spans="1:21" x14ac:dyDescent="0.2">
      <c r="A60" s="5" t="s">
        <v>9</v>
      </c>
      <c r="B60" s="3">
        <v>462375.9</v>
      </c>
      <c r="C60" s="3"/>
      <c r="D60" s="3">
        <v>5583.97</v>
      </c>
      <c r="E60" s="3"/>
      <c r="F60" s="3">
        <v>81648.13</v>
      </c>
      <c r="G60" s="3"/>
      <c r="H60" s="3">
        <v>40000</v>
      </c>
      <c r="I60" s="3"/>
      <c r="J60" s="3">
        <v>0</v>
      </c>
      <c r="K60" s="3"/>
      <c r="L60" s="3">
        <v>71475.7</v>
      </c>
      <c r="M60" s="3"/>
      <c r="N60" s="3">
        <v>23558.880000000001</v>
      </c>
      <c r="P60" s="14">
        <f>SUM(F61/(SUM(B61:J61)))</f>
        <v>-1.3222096479644136E-2</v>
      </c>
      <c r="Q60" s="1" t="s">
        <v>18</v>
      </c>
      <c r="R60">
        <v>409.89</v>
      </c>
      <c r="S60" s="3">
        <f t="shared" si="0"/>
        <v>-5.4196051260413345</v>
      </c>
    </row>
    <row r="61" spans="1:21" x14ac:dyDescent="0.2">
      <c r="A61" s="1" t="s">
        <v>10</v>
      </c>
      <c r="B61" s="3">
        <f>SUM(B58+B59-B60)</f>
        <v>536246.11</v>
      </c>
      <c r="C61" s="3"/>
      <c r="D61" s="3">
        <f>SUM(D58+D59-D60)</f>
        <v>524273.5</v>
      </c>
      <c r="E61" s="3"/>
      <c r="F61" s="3">
        <f>SUM(F58+F59-F60)</f>
        <v>-19320.18</v>
      </c>
      <c r="G61" s="3"/>
      <c r="H61" s="3">
        <f>SUM(H58+H59-H60)</f>
        <v>159574.91999999998</v>
      </c>
      <c r="I61" s="3"/>
      <c r="J61" s="3">
        <f>SUM(J58+J59-J60)</f>
        <v>260429.63</v>
      </c>
      <c r="K61" s="3"/>
      <c r="L61" s="3">
        <f>SUM(L58+L59-L60)</f>
        <v>1082590.7</v>
      </c>
      <c r="M61" s="3"/>
      <c r="N61" s="3">
        <f>SUM(N58+N59-N60)</f>
        <v>26498.45</v>
      </c>
      <c r="P61" s="14">
        <f>SUM(H61/(SUM(B61:J61)))</f>
        <v>0.1092078328448024</v>
      </c>
      <c r="Q61" s="1" t="s">
        <v>19</v>
      </c>
      <c r="R61">
        <v>409.89</v>
      </c>
      <c r="S61" s="3">
        <f t="shared" si="0"/>
        <v>44.763198604756056</v>
      </c>
    </row>
    <row r="62" spans="1:21" x14ac:dyDescent="0.2">
      <c r="A62" s="5" t="s">
        <v>26</v>
      </c>
      <c r="B62" s="3">
        <v>266715.32</v>
      </c>
      <c r="C62" s="3"/>
      <c r="D62" s="3"/>
      <c r="E62" s="3"/>
      <c r="F62" s="3">
        <v>50085.36</v>
      </c>
      <c r="G62" s="3"/>
      <c r="H62" s="3"/>
      <c r="I62" s="3"/>
      <c r="J62" s="3"/>
      <c r="K62" s="3"/>
      <c r="L62" s="3"/>
      <c r="M62" s="3"/>
      <c r="N62" s="3">
        <v>13317.25</v>
      </c>
      <c r="P62" s="14">
        <f>SUM(J61/(SUM(B61:J61)))</f>
        <v>0.17822948305957942</v>
      </c>
      <c r="Q62" s="1" t="s">
        <v>20</v>
      </c>
      <c r="R62">
        <v>409.89</v>
      </c>
      <c r="S62" s="3">
        <f t="shared" si="0"/>
        <v>73.05448281129101</v>
      </c>
      <c r="T62">
        <v>1184.25</v>
      </c>
      <c r="U62" s="3">
        <f>SUM(T62*0.03)</f>
        <v>35.527499999999996</v>
      </c>
    </row>
    <row r="63" spans="1:21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1" x14ac:dyDescent="0.2">
      <c r="A64" s="5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">
      <c r="A65" s="5" t="s">
        <v>29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2" x14ac:dyDescent="0.2">
      <c r="A66" s="5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2" x14ac:dyDescent="0.2">
      <c r="A67" s="5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2" x14ac:dyDescent="0.2">
      <c r="A68" s="1" t="s">
        <v>15</v>
      </c>
      <c r="B68" s="3">
        <f>SUM(B61:B67)</f>
        <v>802961.42999999993</v>
      </c>
      <c r="C68" s="3"/>
      <c r="D68" s="3">
        <v>524273.5</v>
      </c>
      <c r="E68" s="3"/>
      <c r="F68" s="3">
        <f>SUM(F61:F67)</f>
        <v>30765.18</v>
      </c>
      <c r="G68" s="3"/>
      <c r="H68" s="3">
        <v>159574.92000000001</v>
      </c>
      <c r="I68" s="3"/>
      <c r="J68" s="3">
        <v>260429.63</v>
      </c>
      <c r="K68" s="3"/>
      <c r="L68" s="3">
        <v>1082590.7</v>
      </c>
      <c r="M68" s="3"/>
      <c r="N68" s="3">
        <f>SUM(N61:N67)</f>
        <v>39815.699999999997</v>
      </c>
      <c r="Q68" s="1" t="s">
        <v>16</v>
      </c>
      <c r="S68" s="2">
        <f>SUM(S3,S8,S13,S18,S23,S28,S33,S38,S43,S48,S53,S58)</f>
        <v>1866.7375653430786</v>
      </c>
      <c r="U68" s="2">
        <f>SUM(U3,U8,U13,U18,U23,U28,U33,U38,U43,U48,U53,U58)</f>
        <v>2496.8478000000005</v>
      </c>
      <c r="V68" s="2">
        <f>SUM(S68+U68+(S70*0.4))</f>
        <v>4328.8964296191598</v>
      </c>
    </row>
    <row r="69" spans="1:22" x14ac:dyDescent="0.2">
      <c r="A69" s="1" t="s">
        <v>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" t="s">
        <v>17</v>
      </c>
      <c r="S69" s="2">
        <f>SUM(S4,S9,S14,S19,S24,S29,S34,S39,S44,S49,S54,S59)</f>
        <v>1010.4573564641523</v>
      </c>
      <c r="U69" s="2">
        <f>SUM(U4,U9,U14,U19,U24,U29,U34,U39,U44,U49,U54,U59)</f>
        <v>4626.5120999999999</v>
      </c>
      <c r="V69" s="2">
        <f>SUM(S69+U69+(S70*0.35))</f>
        <v>5606.6166377057234</v>
      </c>
    </row>
    <row r="70" spans="1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" t="s">
        <v>18</v>
      </c>
      <c r="S70" s="2">
        <f>SUM(S5,S10,S15,S20,S25,S30,S35,S40,S45,S50,S55,S60)</f>
        <v>-86.722339309797874</v>
      </c>
      <c r="U70" s="1"/>
    </row>
    <row r="71" spans="1:22" x14ac:dyDescent="0.2">
      <c r="B71" s="3">
        <f>SUM(B5,B10,B15,B20,B25,B30,B35,B40,B45,B50,B55,B60)</f>
        <v>2658555.2799999998</v>
      </c>
      <c r="C71" s="3"/>
      <c r="D71" s="3">
        <f>SUM(D5,D10,D15,D20,D25,D30,D35,D40,D45,D50,D55,D60)</f>
        <v>842207.97</v>
      </c>
      <c r="E71" s="3"/>
      <c r="F71" s="3">
        <f>SUM(F5,F10,F15,F20,F25,F30,F35,F40,F45,F50,F55,F60)</f>
        <v>451837.50999999995</v>
      </c>
      <c r="G71" s="3"/>
      <c r="H71" s="3">
        <f>SUM(H5,H10,H15,H20,H25,H30,H35,H40,H45,H50,H55,H60)</f>
        <v>48969.130000000005</v>
      </c>
      <c r="I71" s="3"/>
      <c r="J71" s="3">
        <f>SUM(J5,J10,J15,J20,J25,J30,J35,J40,J45,J50,J55,J60)</f>
        <v>146820</v>
      </c>
      <c r="K71" s="3"/>
      <c r="L71" s="3">
        <f>SUM(L5,L10,L15,L20,L25,L30,L35,L40,L45,L50,L55,L60)</f>
        <v>222209.68</v>
      </c>
      <c r="M71" s="3"/>
      <c r="N71" s="3">
        <f>SUM(N5,N10,N15,N20,N25,N30,N35,N40,N45,N50,N55,N60)</f>
        <v>170785.76</v>
      </c>
      <c r="Q71" s="1" t="s">
        <v>19</v>
      </c>
      <c r="S71" s="2">
        <f>SUM(S6,S11,S16,S21,S26,S31,S36,S41,S46,S51,S56,S61)</f>
        <v>448.40890709697146</v>
      </c>
      <c r="U71" s="1"/>
      <c r="V71" s="2">
        <f>SUM(S71+(S70*0.125))</f>
        <v>437.56861468324672</v>
      </c>
    </row>
    <row r="72" spans="1:22" x14ac:dyDescent="0.2">
      <c r="B72" s="15">
        <f>SUM(B68/B71)</f>
        <v>0.30202923973053514</v>
      </c>
      <c r="C72" s="3"/>
      <c r="D72" s="15">
        <f>SUM(D68/D71)</f>
        <v>0.6224988585657768</v>
      </c>
      <c r="E72" s="3"/>
      <c r="F72" s="15">
        <f>SUM(F68/F71)</f>
        <v>6.8089034927622555E-2</v>
      </c>
      <c r="G72" s="3"/>
      <c r="H72" s="15">
        <f>SUM(H68/H71)</f>
        <v>3.2586839913226964</v>
      </c>
      <c r="I72" s="3"/>
      <c r="J72" s="15">
        <f>SUM(J68/J71)</f>
        <v>1.7738021386732052</v>
      </c>
      <c r="K72" s="3"/>
      <c r="L72" s="15">
        <f>SUM(L68/L71)</f>
        <v>4.8719331219053998</v>
      </c>
      <c r="M72" s="3"/>
      <c r="N72" s="15">
        <f>SUM(N68/N71)</f>
        <v>0.23313243446057794</v>
      </c>
      <c r="Q72" s="1" t="s">
        <v>20</v>
      </c>
      <c r="S72" s="2">
        <f>SUM(S7,S12,S17,S22,S27,S32,S37,S42,S47,S52,S57,S62)</f>
        <v>492.91851040559533</v>
      </c>
      <c r="U72" s="2">
        <f>SUM(U7,U12,U17,U22,U27,U32,U37,U42,U47,U52,U57,U62)</f>
        <v>220.31009999999998</v>
      </c>
      <c r="V72" s="2">
        <f>SUM(S72+U72+(S70*0.125))</f>
        <v>702.38831799187062</v>
      </c>
    </row>
    <row r="73" spans="1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pageMargins left="0.7" right="0.7" top="0.75" bottom="0.75" header="0.3" footer="0.3"/>
  <pageSetup scale="93" orientation="landscape" r:id="rId1"/>
  <rowBreaks count="1" manualBreakCount="1">
    <brk id="41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28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39995</v>
      </c>
      <c r="B2" s="10" t="s">
        <v>11</v>
      </c>
      <c r="C2" s="10"/>
      <c r="D2" s="10" t="s">
        <v>11</v>
      </c>
      <c r="E2" s="10"/>
      <c r="F2" s="10" t="s">
        <v>11</v>
      </c>
    </row>
    <row r="3" spans="1:19" x14ac:dyDescent="0.2">
      <c r="A3" s="1" t="s">
        <v>7</v>
      </c>
      <c r="B3" s="3">
        <v>1177851.6399999999</v>
      </c>
      <c r="D3" s="3">
        <v>552989.56000000006</v>
      </c>
      <c r="F3" s="3">
        <v>57781.81</v>
      </c>
      <c r="H3" s="3">
        <v>182224.61</v>
      </c>
      <c r="J3" s="3">
        <v>259455.89</v>
      </c>
      <c r="L3" s="3">
        <v>18291.79</v>
      </c>
      <c r="N3" s="8">
        <f>SUM(B6/1877071.95)</f>
        <v>0.58564417309629502</v>
      </c>
      <c r="O3" s="1" t="s">
        <v>16</v>
      </c>
      <c r="P3">
        <v>678.45</v>
      </c>
      <c r="Q3" s="3">
        <f>SUM(N3*P3)</f>
        <v>397.33028923718138</v>
      </c>
      <c r="R3">
        <v>992.22</v>
      </c>
      <c r="S3" s="3">
        <f>SUM(R3*0.34)</f>
        <v>337.35480000000001</v>
      </c>
    </row>
    <row r="4" spans="1:19" x14ac:dyDescent="0.2">
      <c r="A4" s="5" t="s">
        <v>8</v>
      </c>
      <c r="B4" s="3">
        <v>127743.74</v>
      </c>
      <c r="D4" s="3">
        <v>11232.24</v>
      </c>
      <c r="F4" s="3">
        <v>11608.16</v>
      </c>
      <c r="H4" s="3">
        <v>927.88</v>
      </c>
      <c r="J4" s="3">
        <v>3093.01</v>
      </c>
      <c r="L4" s="3">
        <v>0</v>
      </c>
      <c r="N4" s="8">
        <f>SUM(D6/1877071.95)</f>
        <v>0.23639219050713534</v>
      </c>
      <c r="O4" s="1" t="s">
        <v>17</v>
      </c>
      <c r="P4">
        <v>678.45</v>
      </c>
      <c r="Q4" s="3">
        <f t="shared" ref="Q4:Q62" si="0">SUM(N4*P4)</f>
        <v>160.38028164956597</v>
      </c>
      <c r="R4">
        <v>992.22</v>
      </c>
      <c r="S4" s="3">
        <f>SUM(R4*0.63)</f>
        <v>625.09860000000003</v>
      </c>
    </row>
    <row r="5" spans="1:19" x14ac:dyDescent="0.2">
      <c r="A5" s="5" t="s">
        <v>9</v>
      </c>
      <c r="B5" s="3">
        <v>206299.13</v>
      </c>
      <c r="D5" s="3">
        <v>120496.65</v>
      </c>
      <c r="F5" s="3">
        <v>40234.92</v>
      </c>
      <c r="H5" s="3">
        <v>8719.64</v>
      </c>
      <c r="J5" s="3">
        <v>132086.25</v>
      </c>
      <c r="L5" s="3">
        <v>6356</v>
      </c>
      <c r="N5" s="8">
        <f>SUM(F6/1877071.95)</f>
        <v>1.5532196301798662E-2</v>
      </c>
      <c r="O5" s="1" t="s">
        <v>18</v>
      </c>
      <c r="P5">
        <v>678.45</v>
      </c>
      <c r="Q5" s="3">
        <f t="shared" si="0"/>
        <v>10.537818580955303</v>
      </c>
    </row>
    <row r="6" spans="1:19" x14ac:dyDescent="0.2">
      <c r="A6" s="1" t="s">
        <v>10</v>
      </c>
      <c r="B6" s="3">
        <f>SUM(B3+B4-B5)</f>
        <v>1099296.25</v>
      </c>
      <c r="D6" s="3">
        <f>SUM(D3+D4-D5)</f>
        <v>443725.15</v>
      </c>
      <c r="F6" s="3">
        <f>SUM(F3+F4-F5)</f>
        <v>29155.050000000003</v>
      </c>
      <c r="H6" s="3">
        <f>SUM(H3+H4-H5)</f>
        <v>174432.84999999998</v>
      </c>
      <c r="J6" s="3">
        <f>SUM(J3+J4-J5)</f>
        <v>130462.65000000002</v>
      </c>
      <c r="L6" s="3">
        <f>SUM(L3+L4-L5)</f>
        <v>11935.79</v>
      </c>
      <c r="N6" s="8">
        <f>SUM(H6/1877071.95)</f>
        <v>9.2928163994992291E-2</v>
      </c>
      <c r="O6" s="1" t="s">
        <v>19</v>
      </c>
      <c r="P6">
        <v>678.45</v>
      </c>
      <c r="Q6" s="3">
        <f t="shared" si="0"/>
        <v>63.047112862402521</v>
      </c>
    </row>
    <row r="7" spans="1:19" x14ac:dyDescent="0.2">
      <c r="A7" s="4">
        <v>40026</v>
      </c>
      <c r="N7" s="8">
        <f>SUM(J6/1877071.95)</f>
        <v>6.9503276099778716E-2</v>
      </c>
      <c r="O7" s="1" t="s">
        <v>20</v>
      </c>
      <c r="P7">
        <v>678.45</v>
      </c>
      <c r="Q7" s="3">
        <f t="shared" si="0"/>
        <v>47.154497669894873</v>
      </c>
      <c r="R7">
        <v>992.22</v>
      </c>
      <c r="S7" s="3">
        <f>SUM(R7*0.03)</f>
        <v>29.7666</v>
      </c>
    </row>
    <row r="8" spans="1:19" x14ac:dyDescent="0.2">
      <c r="A8" s="1" t="s">
        <v>7</v>
      </c>
      <c r="B8" s="3">
        <v>1099296.25</v>
      </c>
      <c r="D8" s="3">
        <v>443725.15</v>
      </c>
      <c r="F8" s="3">
        <v>29155.05</v>
      </c>
      <c r="H8" s="3">
        <v>174432.85</v>
      </c>
      <c r="J8" s="3">
        <v>130462.65</v>
      </c>
      <c r="L8" s="3">
        <v>11935.79</v>
      </c>
      <c r="N8" s="8">
        <f>SUM(B11/1774664.88)</f>
        <v>0.58899588411306147</v>
      </c>
      <c r="O8" s="1" t="s">
        <v>16</v>
      </c>
      <c r="P8">
        <v>429.02</v>
      </c>
      <c r="Q8" s="3">
        <f t="shared" si="0"/>
        <v>252.69101420218561</v>
      </c>
      <c r="R8">
        <v>147.78</v>
      </c>
      <c r="S8" s="3">
        <f>SUM(R8*0.34)</f>
        <v>50.245200000000004</v>
      </c>
    </row>
    <row r="9" spans="1:19" x14ac:dyDescent="0.2">
      <c r="A9" s="5" t="s">
        <v>8</v>
      </c>
      <c r="B9" s="3">
        <v>128702.26</v>
      </c>
      <c r="D9" s="3">
        <v>1581.38</v>
      </c>
      <c r="F9" s="3">
        <v>899.94</v>
      </c>
      <c r="H9" s="3">
        <v>189.77</v>
      </c>
      <c r="J9" s="3">
        <v>632.54999999999995</v>
      </c>
      <c r="L9" s="3">
        <v>-6806.94</v>
      </c>
      <c r="N9" s="8">
        <f>SUM(D11/1774664.88)</f>
        <v>0.23912493833765394</v>
      </c>
      <c r="O9" s="1" t="s">
        <v>17</v>
      </c>
      <c r="P9">
        <v>429.02</v>
      </c>
      <c r="Q9" s="3">
        <f t="shared" si="0"/>
        <v>102.58938104562029</v>
      </c>
      <c r="R9">
        <v>147.78</v>
      </c>
      <c r="S9" s="3">
        <f>SUM(R9*0.63)</f>
        <v>93.101399999999998</v>
      </c>
    </row>
    <row r="10" spans="1:19" x14ac:dyDescent="0.2">
      <c r="A10" s="5" t="s">
        <v>9</v>
      </c>
      <c r="B10" s="3">
        <v>182728.2</v>
      </c>
      <c r="D10" s="3">
        <v>20939.900000000001</v>
      </c>
      <c r="F10" s="3">
        <v>30744.87</v>
      </c>
      <c r="H10" s="3">
        <v>0</v>
      </c>
      <c r="J10" s="3">
        <v>0</v>
      </c>
      <c r="L10" s="3">
        <v>-3019.19</v>
      </c>
      <c r="N10" s="8">
        <f>SUM(F11/1774664.88)</f>
        <v>-3.8873818250125122E-4</v>
      </c>
      <c r="O10" s="1" t="s">
        <v>18</v>
      </c>
      <c r="P10">
        <v>429.02</v>
      </c>
      <c r="Q10" s="3">
        <f t="shared" si="0"/>
        <v>-0.16677645505668678</v>
      </c>
    </row>
    <row r="11" spans="1:19" x14ac:dyDescent="0.2">
      <c r="A11" s="1" t="s">
        <v>10</v>
      </c>
      <c r="B11" s="3">
        <f>SUM(B8+B9-B10)</f>
        <v>1045270.31</v>
      </c>
      <c r="D11" s="3">
        <f>SUM(D8+D9-D10)</f>
        <v>424366.63</v>
      </c>
      <c r="F11" s="3">
        <f>SUM(F8+F9-F10)</f>
        <v>-689.88000000000102</v>
      </c>
      <c r="H11" s="3">
        <f>SUM(H8+H9-H10)</f>
        <v>174622.62</v>
      </c>
      <c r="J11" s="3">
        <f>SUM(J8+J9-J10)</f>
        <v>131095.19999999998</v>
      </c>
      <c r="L11" s="3">
        <f>SUM(L8+L9-L10)</f>
        <v>8148.0400000000009</v>
      </c>
      <c r="N11" s="8">
        <f>SUM(H11/1774664.88)</f>
        <v>9.8397518296524808E-2</v>
      </c>
      <c r="O11" s="1" t="s">
        <v>19</v>
      </c>
      <c r="P11">
        <v>429.02</v>
      </c>
      <c r="Q11" s="3">
        <f t="shared" si="0"/>
        <v>42.214503299575071</v>
      </c>
    </row>
    <row r="12" spans="1:19" x14ac:dyDescent="0.2">
      <c r="A12" s="4">
        <v>40057</v>
      </c>
      <c r="N12" s="8">
        <f>SUM(J11/1774664.88)</f>
        <v>7.3870397435261123E-2</v>
      </c>
      <c r="O12" s="1" t="s">
        <v>20</v>
      </c>
      <c r="P12">
        <v>429.02</v>
      </c>
      <c r="Q12" s="3">
        <f t="shared" si="0"/>
        <v>31.691877907675725</v>
      </c>
      <c r="R12">
        <v>147.76</v>
      </c>
      <c r="S12" s="3">
        <f>SUM(R12*0.03)</f>
        <v>4.4327999999999994</v>
      </c>
    </row>
    <row r="13" spans="1:19" x14ac:dyDescent="0.2">
      <c r="A13" s="1" t="s">
        <v>7</v>
      </c>
      <c r="B13" s="3">
        <v>1045270.31</v>
      </c>
      <c r="D13" s="3">
        <v>424366.63</v>
      </c>
      <c r="F13" s="3">
        <v>-689.88</v>
      </c>
      <c r="H13" s="3">
        <v>174622.62</v>
      </c>
      <c r="J13" s="3">
        <v>131095.20000000001</v>
      </c>
      <c r="L13" s="3">
        <v>8148.04</v>
      </c>
      <c r="N13" s="8">
        <f>SUM(B16/1644547.74)</f>
        <v>0.5851170851385562</v>
      </c>
      <c r="O13" s="1" t="s">
        <v>16</v>
      </c>
      <c r="P13">
        <v>207.09</v>
      </c>
      <c r="Q13" s="3">
        <f t="shared" si="0"/>
        <v>121.17189716134361</v>
      </c>
      <c r="R13">
        <v>150.22</v>
      </c>
      <c r="S13" s="3">
        <f>SUM(R13*0.34)</f>
        <v>51.074800000000003</v>
      </c>
    </row>
    <row r="14" spans="1:19" x14ac:dyDescent="0.2">
      <c r="A14" s="5" t="s">
        <v>8</v>
      </c>
      <c r="B14" s="3">
        <v>164156.62</v>
      </c>
      <c r="D14" s="3">
        <v>2874.92</v>
      </c>
      <c r="F14" s="3">
        <v>2028.95</v>
      </c>
      <c r="H14" s="3">
        <v>345</v>
      </c>
      <c r="J14" s="3">
        <v>1151.3900000000001</v>
      </c>
      <c r="L14" s="3">
        <v>14490.5</v>
      </c>
      <c r="N14" s="8">
        <f>SUM(D16/1644547.74)</f>
        <v>0.25637006439229304</v>
      </c>
      <c r="O14" s="1" t="s">
        <v>17</v>
      </c>
      <c r="P14">
        <v>207.09</v>
      </c>
      <c r="Q14" s="3">
        <f t="shared" si="0"/>
        <v>53.091676634999963</v>
      </c>
      <c r="R14">
        <v>150.22</v>
      </c>
      <c r="S14" s="3">
        <f>SUM(R14*0.63)</f>
        <v>94.638599999999997</v>
      </c>
    </row>
    <row r="15" spans="1:19" x14ac:dyDescent="0.2">
      <c r="A15" s="5" t="s">
        <v>9</v>
      </c>
      <c r="B15" s="3">
        <v>247173.95</v>
      </c>
      <c r="D15" s="3">
        <v>5628.74</v>
      </c>
      <c r="F15" s="3">
        <v>47871.33</v>
      </c>
      <c r="H15" s="3">
        <v>0</v>
      </c>
      <c r="J15" s="3">
        <v>0</v>
      </c>
      <c r="L15" s="3">
        <v>23652.639999999999</v>
      </c>
      <c r="N15" s="8">
        <f>SUM(F16/1644547.74)</f>
        <v>-2.829486725633152E-2</v>
      </c>
      <c r="O15" s="1" t="s">
        <v>18</v>
      </c>
      <c r="P15">
        <v>207.09</v>
      </c>
      <c r="Q15" s="3">
        <f t="shared" si="0"/>
        <v>-5.8595840601136944</v>
      </c>
    </row>
    <row r="16" spans="1:19" x14ac:dyDescent="0.2">
      <c r="A16" s="1" t="s">
        <v>10</v>
      </c>
      <c r="B16" s="3">
        <f>SUM(B13+B14-B15)</f>
        <v>962252.98000000021</v>
      </c>
      <c r="D16" s="3">
        <f>SUM(D13+D14-D15)</f>
        <v>421612.81</v>
      </c>
      <c r="F16" s="3">
        <f>SUM(F13+F14-F15)</f>
        <v>-46532.26</v>
      </c>
      <c r="H16" s="3">
        <f>SUM(H13+H14-H15)</f>
        <v>174967.62</v>
      </c>
      <c r="J16" s="3">
        <f>SUM(J13+J14-J15)</f>
        <v>132246.59000000003</v>
      </c>
      <c r="L16" s="3">
        <f>SUM(L13+L14-L15)</f>
        <v>-1014.0999999999985</v>
      </c>
      <c r="N16" s="8">
        <f>SUM(H16/1644547.74)</f>
        <v>0.10639254534501991</v>
      </c>
      <c r="O16" s="1" t="s">
        <v>19</v>
      </c>
      <c r="P16">
        <v>207.09</v>
      </c>
      <c r="Q16" s="3">
        <f t="shared" si="0"/>
        <v>22.032832215500171</v>
      </c>
    </row>
    <row r="17" spans="1:19" x14ac:dyDescent="0.2">
      <c r="A17" s="4">
        <v>40087</v>
      </c>
      <c r="N17" s="8">
        <f>SUM(J16/1644547.74)</f>
        <v>8.0415172380462502E-2</v>
      </c>
      <c r="O17" s="1" t="s">
        <v>20</v>
      </c>
      <c r="P17">
        <v>207.09</v>
      </c>
      <c r="Q17" s="3">
        <f t="shared" si="0"/>
        <v>16.653178048269979</v>
      </c>
      <c r="R17">
        <v>150.22</v>
      </c>
      <c r="S17" s="3">
        <f>SUM(R17*0.03)</f>
        <v>4.5065999999999997</v>
      </c>
    </row>
    <row r="18" spans="1:19" x14ac:dyDescent="0.2">
      <c r="A18" s="1" t="s">
        <v>7</v>
      </c>
      <c r="B18" s="3">
        <v>962252.98</v>
      </c>
      <c r="D18" s="3">
        <v>421612.81</v>
      </c>
      <c r="F18" s="3">
        <v>-46532.26</v>
      </c>
      <c r="H18" s="3">
        <v>174967.62</v>
      </c>
      <c r="J18" s="3">
        <v>132246.59</v>
      </c>
      <c r="L18" s="3">
        <v>-1014.1</v>
      </c>
      <c r="N18" s="8">
        <f>SUM(B21/1747132.2)</f>
        <v>0.61894146304441078</v>
      </c>
      <c r="O18" s="1" t="s">
        <v>16</v>
      </c>
      <c r="P18">
        <v>206.34</v>
      </c>
      <c r="Q18" s="3">
        <f t="shared" si="0"/>
        <v>127.71238148458372</v>
      </c>
      <c r="R18">
        <v>180.49</v>
      </c>
      <c r="S18" s="3">
        <f>SUM(R18*0.34)</f>
        <v>61.366600000000005</v>
      </c>
    </row>
    <row r="19" spans="1:19" x14ac:dyDescent="0.2">
      <c r="A19" s="5" t="s">
        <v>8</v>
      </c>
      <c r="B19" s="3">
        <v>299243.3</v>
      </c>
      <c r="D19" s="3">
        <v>6809.92</v>
      </c>
      <c r="F19" s="3">
        <v>18364.7</v>
      </c>
      <c r="H19" s="3">
        <v>817.19</v>
      </c>
      <c r="J19" s="3">
        <v>2723.96</v>
      </c>
      <c r="L19" s="3">
        <v>22846.639999999999</v>
      </c>
      <c r="N19" s="8">
        <f>SUM(D21/1747132.2)</f>
        <v>0.24325061377725166</v>
      </c>
      <c r="O19" s="1" t="s">
        <v>17</v>
      </c>
      <c r="P19">
        <v>206.34</v>
      </c>
      <c r="Q19" s="3">
        <f t="shared" si="0"/>
        <v>50.19233164679811</v>
      </c>
      <c r="R19">
        <v>180.49</v>
      </c>
      <c r="S19" s="3">
        <f>SUM(R19*0.63)</f>
        <v>113.70870000000001</v>
      </c>
    </row>
    <row r="20" spans="1:19" x14ac:dyDescent="0.2">
      <c r="A20" s="5" t="s">
        <v>9</v>
      </c>
      <c r="B20" s="3">
        <v>180123.72</v>
      </c>
      <c r="D20" s="3">
        <v>3431.75</v>
      </c>
      <c r="F20" s="3">
        <v>41819.14</v>
      </c>
      <c r="H20" s="3">
        <v>0</v>
      </c>
      <c r="J20" s="3">
        <v>0</v>
      </c>
      <c r="L20" s="3">
        <v>17355.7</v>
      </c>
      <c r="N20" s="8">
        <f>SUM(F21/1747132.2)</f>
        <v>-4.0058044834844209E-2</v>
      </c>
      <c r="O20" s="1" t="s">
        <v>18</v>
      </c>
      <c r="P20">
        <v>206.34</v>
      </c>
      <c r="Q20" s="3">
        <f t="shared" si="0"/>
        <v>-8.2655769712217548</v>
      </c>
    </row>
    <row r="21" spans="1:19" x14ac:dyDescent="0.2">
      <c r="A21" s="1" t="s">
        <v>10</v>
      </c>
      <c r="B21" s="3">
        <f>SUM(B18+B19-B20)</f>
        <v>1081372.56</v>
      </c>
      <c r="D21" s="3">
        <f>SUM(D18+D19-D20)</f>
        <v>424990.98</v>
      </c>
      <c r="F21" s="3">
        <f>SUM(F18+F19-F20)</f>
        <v>-69986.7</v>
      </c>
      <c r="H21" s="3">
        <f>SUM(H18+H19-H20)</f>
        <v>175784.81</v>
      </c>
      <c r="J21" s="3">
        <f>SUM(J18+J19-J20)</f>
        <v>134970.54999999999</v>
      </c>
      <c r="L21" s="3">
        <f>SUM(L18+L19-L20)</f>
        <v>4476.84</v>
      </c>
      <c r="N21" s="8">
        <f>SUM(H21/1747132.2)</f>
        <v>0.10061334225309339</v>
      </c>
      <c r="O21" s="1" t="s">
        <v>19</v>
      </c>
      <c r="P21">
        <v>206.34</v>
      </c>
      <c r="Q21" s="3">
        <f t="shared" si="0"/>
        <v>20.76055704050329</v>
      </c>
      <c r="R21" t="s">
        <v>11</v>
      </c>
    </row>
    <row r="22" spans="1:19" x14ac:dyDescent="0.2">
      <c r="A22" s="4">
        <v>40118</v>
      </c>
      <c r="N22" s="8">
        <f>SUM(J21/1747132.2)</f>
        <v>7.7252625760088442E-2</v>
      </c>
      <c r="O22" s="1" t="s">
        <v>20</v>
      </c>
      <c r="P22">
        <v>206.34</v>
      </c>
      <c r="Q22" s="3">
        <f t="shared" si="0"/>
        <v>15.94030679933665</v>
      </c>
      <c r="R22">
        <v>180.49</v>
      </c>
      <c r="S22" s="3">
        <f>SUM(R22*0.03)</f>
        <v>5.4146999999999998</v>
      </c>
    </row>
    <row r="23" spans="1:19" x14ac:dyDescent="0.2">
      <c r="A23" s="1" t="s">
        <v>7</v>
      </c>
      <c r="B23" s="3">
        <v>1081372.56</v>
      </c>
      <c r="D23" s="3">
        <v>424990.98</v>
      </c>
      <c r="F23" s="3">
        <v>-69986.7</v>
      </c>
      <c r="H23" s="3">
        <v>175784.81</v>
      </c>
      <c r="J23" s="3">
        <v>134970.54999999999</v>
      </c>
      <c r="L23" s="3">
        <v>4476.84</v>
      </c>
      <c r="N23" s="8">
        <f>SUM(B26/1994888.6)</f>
        <v>0.59540908199084397</v>
      </c>
      <c r="O23" s="1" t="s">
        <v>16</v>
      </c>
      <c r="P23">
        <v>232.25</v>
      </c>
      <c r="Q23" s="3">
        <f t="shared" si="0"/>
        <v>138.2837592923735</v>
      </c>
      <c r="R23">
        <v>1355.04</v>
      </c>
      <c r="S23" s="3">
        <f>SUM(R23*0.34)</f>
        <v>460.71360000000004</v>
      </c>
    </row>
    <row r="24" spans="1:19" x14ac:dyDescent="0.2">
      <c r="A24" s="5" t="s">
        <v>8</v>
      </c>
      <c r="B24" s="3">
        <v>297770.58</v>
      </c>
      <c r="D24" s="3">
        <v>125484.32</v>
      </c>
      <c r="F24" s="3">
        <v>118371.94</v>
      </c>
      <c r="H24" s="3">
        <v>15057.02</v>
      </c>
      <c r="J24" s="3">
        <v>50235.8</v>
      </c>
      <c r="L24" s="3">
        <v>17529.39</v>
      </c>
      <c r="N24" s="8">
        <f>SUM(D26/1994888.6)</f>
        <v>0.22002660198669741</v>
      </c>
      <c r="O24" s="1" t="s">
        <v>17</v>
      </c>
      <c r="P24">
        <v>232.25</v>
      </c>
      <c r="Q24" s="3">
        <f t="shared" si="0"/>
        <v>51.101178311410472</v>
      </c>
      <c r="R24">
        <v>1355.04</v>
      </c>
      <c r="S24" s="3">
        <f>SUM(R24*0.63)</f>
        <v>853.67520000000002</v>
      </c>
    </row>
    <row r="25" spans="1:19" x14ac:dyDescent="0.2">
      <c r="A25" s="5" t="s">
        <v>9</v>
      </c>
      <c r="B25" s="3">
        <v>191368.35</v>
      </c>
      <c r="D25" s="3">
        <v>111546.74</v>
      </c>
      <c r="F25" s="3">
        <v>41548.17</v>
      </c>
      <c r="H25" s="3">
        <v>0</v>
      </c>
      <c r="J25" s="3">
        <v>14700</v>
      </c>
      <c r="L25" s="3">
        <v>12371.24</v>
      </c>
      <c r="N25" s="8">
        <f>SUM(F26/1994888.6)</f>
        <v>3.4272941356224135E-3</v>
      </c>
      <c r="O25" s="1" t="s">
        <v>18</v>
      </c>
      <c r="P25">
        <v>232.25</v>
      </c>
      <c r="Q25" s="3">
        <f t="shared" si="0"/>
        <v>0.79598906299830552</v>
      </c>
    </row>
    <row r="26" spans="1:19" x14ac:dyDescent="0.2">
      <c r="A26" s="1" t="s">
        <v>10</v>
      </c>
      <c r="B26" s="3">
        <f>SUM(B23+B24-B25)</f>
        <v>1187774.79</v>
      </c>
      <c r="D26" s="3">
        <f>SUM(D23+D24-D25)</f>
        <v>438928.56000000006</v>
      </c>
      <c r="F26" s="3">
        <f>SUM(F23+F24-F25)</f>
        <v>6837.070000000007</v>
      </c>
      <c r="H26" s="3">
        <f>SUM(H23+H24-H25)</f>
        <v>190841.83</v>
      </c>
      <c r="J26" s="3">
        <f>SUM(J23+J24-J25)</f>
        <v>170506.34999999998</v>
      </c>
      <c r="L26" s="3">
        <f>SUM(L23+L24-L25)</f>
        <v>9634.99</v>
      </c>
      <c r="N26" s="8">
        <f>SUM(H26/1994888.6)</f>
        <v>9.5665407080876591E-2</v>
      </c>
      <c r="O26" s="1" t="s">
        <v>19</v>
      </c>
      <c r="P26">
        <v>232.25</v>
      </c>
      <c r="Q26" s="3">
        <f t="shared" si="0"/>
        <v>22.218290794533587</v>
      </c>
    </row>
    <row r="27" spans="1:19" x14ac:dyDescent="0.2">
      <c r="A27" s="4">
        <v>40148</v>
      </c>
      <c r="B27" s="11" t="s">
        <v>11</v>
      </c>
      <c r="C27" s="11"/>
      <c r="D27" s="11" t="s">
        <v>11</v>
      </c>
      <c r="E27" s="11"/>
      <c r="F27" s="11"/>
      <c r="G27" s="11"/>
      <c r="H27" s="11"/>
      <c r="I27" s="11"/>
      <c r="J27" s="11"/>
      <c r="K27" s="11"/>
      <c r="L27" s="11" t="s">
        <v>11</v>
      </c>
      <c r="N27" s="8">
        <f>SUM(J26/1994888.6)</f>
        <v>8.5471614805959578E-2</v>
      </c>
      <c r="O27" s="1" t="s">
        <v>20</v>
      </c>
      <c r="P27">
        <v>232.25</v>
      </c>
      <c r="Q27" s="3">
        <f t="shared" si="0"/>
        <v>19.850782538684111</v>
      </c>
      <c r="R27">
        <v>1355.04</v>
      </c>
      <c r="S27" s="3">
        <f>SUM(R27*0.03)</f>
        <v>40.651199999999996</v>
      </c>
    </row>
    <row r="28" spans="1:19" x14ac:dyDescent="0.2">
      <c r="A28" s="1" t="s">
        <v>7</v>
      </c>
      <c r="B28" s="3">
        <v>1187774.79</v>
      </c>
      <c r="D28" s="3">
        <v>438928.56</v>
      </c>
      <c r="F28" s="3">
        <v>6837.07</v>
      </c>
      <c r="H28" s="3">
        <v>190841.83</v>
      </c>
      <c r="J28" s="3">
        <v>170506.35</v>
      </c>
      <c r="L28" s="3">
        <v>9634.99</v>
      </c>
      <c r="N28" s="8">
        <f>SUM(B31/1965867.42)</f>
        <v>0.56870909432946393</v>
      </c>
      <c r="O28" s="1" t="s">
        <v>16</v>
      </c>
      <c r="P28">
        <v>262.62</v>
      </c>
      <c r="Q28" s="3">
        <f t="shared" si="0"/>
        <v>149.35438235280381</v>
      </c>
      <c r="R28">
        <v>1657.53</v>
      </c>
      <c r="S28" s="3">
        <f>SUM(R28*0.34)</f>
        <v>563.56020000000001</v>
      </c>
    </row>
    <row r="29" spans="1:19" x14ac:dyDescent="0.2">
      <c r="A29" s="5" t="s">
        <v>8</v>
      </c>
      <c r="B29" s="3">
        <v>131509.18</v>
      </c>
      <c r="D29" s="3">
        <v>39233.800000000003</v>
      </c>
      <c r="F29" s="3">
        <v>30052.21</v>
      </c>
      <c r="H29" s="3">
        <v>4708.04</v>
      </c>
      <c r="J29" s="3">
        <v>15696.25</v>
      </c>
      <c r="L29" s="3">
        <v>19000.169999999998</v>
      </c>
      <c r="N29" s="8">
        <f>SUM(D31/1965867.42)</f>
        <v>0.2432322521525892</v>
      </c>
      <c r="O29" s="1" t="s">
        <v>17</v>
      </c>
      <c r="P29">
        <v>262.62</v>
      </c>
      <c r="Q29" s="3">
        <f t="shared" si="0"/>
        <v>63.877654060312977</v>
      </c>
      <c r="R29">
        <v>1657.53</v>
      </c>
      <c r="S29" s="3">
        <f>SUM(R29*0.63)</f>
        <v>1044.2438999999999</v>
      </c>
    </row>
    <row r="30" spans="1:19" x14ac:dyDescent="0.2">
      <c r="A30" s="5" t="s">
        <v>9</v>
      </c>
      <c r="B30" s="3">
        <v>201277.29</v>
      </c>
      <c r="D30" s="3">
        <v>0</v>
      </c>
      <c r="F30" s="3">
        <v>42269.08</v>
      </c>
      <c r="H30" s="3">
        <v>6674.29</v>
      </c>
      <c r="J30" s="3">
        <v>0</v>
      </c>
      <c r="L30" s="3">
        <v>14572.09</v>
      </c>
      <c r="N30" s="8">
        <f>SUM(F31/1965867.42)</f>
        <v>-2.7366036718793597E-3</v>
      </c>
      <c r="O30" s="1" t="s">
        <v>18</v>
      </c>
      <c r="P30">
        <v>262.62</v>
      </c>
      <c r="Q30" s="3">
        <f t="shared" si="0"/>
        <v>-0.71868685630895746</v>
      </c>
    </row>
    <row r="31" spans="1:19" x14ac:dyDescent="0.2">
      <c r="A31" s="1" t="s">
        <v>10</v>
      </c>
      <c r="B31" s="3">
        <f>SUM(B28+B29-B30)</f>
        <v>1118006.68</v>
      </c>
      <c r="D31" s="3">
        <f>SUM(D28+D29-D30)</f>
        <v>478162.36</v>
      </c>
      <c r="F31" s="3">
        <f>SUM(F28+F29-F30)</f>
        <v>-5379.8000000000029</v>
      </c>
      <c r="H31" s="3">
        <f>SUM(H28+H29-H30)</f>
        <v>188875.58</v>
      </c>
      <c r="J31" s="3">
        <f>SUM(J28+J29-J30)</f>
        <v>186202.6</v>
      </c>
      <c r="L31" s="3">
        <f>SUM(L28+L29-L30)</f>
        <v>14063.069999999996</v>
      </c>
      <c r="N31" s="8">
        <f>SUM(H31/1965867.42)</f>
        <v>9.6077476069062681E-2</v>
      </c>
      <c r="O31" s="1" t="s">
        <v>19</v>
      </c>
      <c r="P31">
        <v>262.62</v>
      </c>
      <c r="Q31" s="3">
        <f t="shared" si="0"/>
        <v>25.231866765257241</v>
      </c>
    </row>
    <row r="32" spans="1:19" x14ac:dyDescent="0.2">
      <c r="A32" s="4">
        <v>40179</v>
      </c>
      <c r="N32" s="8">
        <f>SUM(J31/1965867.42)</f>
        <v>9.4717781120763483E-2</v>
      </c>
      <c r="O32" s="1" t="s">
        <v>20</v>
      </c>
      <c r="P32">
        <v>262.62</v>
      </c>
      <c r="Q32" s="3">
        <f t="shared" si="0"/>
        <v>24.874783677934907</v>
      </c>
      <c r="R32">
        <v>1657.53</v>
      </c>
      <c r="S32" s="3">
        <f>SUM(R32*0.03)</f>
        <v>49.725899999999996</v>
      </c>
    </row>
    <row r="33" spans="1:19" x14ac:dyDescent="0.2">
      <c r="A33" s="1" t="s">
        <v>7</v>
      </c>
      <c r="B33" s="3">
        <v>1118006.68</v>
      </c>
      <c r="D33" s="3">
        <v>478162.36</v>
      </c>
      <c r="F33" s="3">
        <v>-5379.8</v>
      </c>
      <c r="H33" s="3">
        <v>188875.58</v>
      </c>
      <c r="J33" s="3">
        <v>186202.6</v>
      </c>
      <c r="L33" s="3">
        <v>14063.07</v>
      </c>
      <c r="N33" s="8">
        <f>SUM(B36/1998496.66)</f>
        <v>0.60191559189295807</v>
      </c>
      <c r="O33" s="1" t="s">
        <v>16</v>
      </c>
      <c r="P33">
        <v>247.1</v>
      </c>
      <c r="Q33" s="3">
        <f t="shared" si="0"/>
        <v>148.73334275674995</v>
      </c>
      <c r="R33">
        <v>1008.72</v>
      </c>
      <c r="S33" s="3">
        <f>SUM(R33*0.34)</f>
        <v>342.96480000000003</v>
      </c>
    </row>
    <row r="34" spans="1:19" x14ac:dyDescent="0.2">
      <c r="A34" s="5" t="s">
        <v>8</v>
      </c>
      <c r="B34" s="3">
        <v>268843.90999999997</v>
      </c>
      <c r="D34" s="3">
        <v>1534.17</v>
      </c>
      <c r="F34" s="3">
        <v>9314.2999999999993</v>
      </c>
      <c r="H34" s="3">
        <v>184.09</v>
      </c>
      <c r="J34" s="3">
        <v>613.66</v>
      </c>
      <c r="L34" s="3">
        <v>13792.11</v>
      </c>
      <c r="N34" s="8">
        <f>SUM(D36/1998496.66)</f>
        <v>0.22849428730093549</v>
      </c>
      <c r="O34" s="1" t="s">
        <v>17</v>
      </c>
      <c r="P34">
        <v>247.1</v>
      </c>
      <c r="Q34" s="3">
        <f t="shared" si="0"/>
        <v>56.460938392061159</v>
      </c>
      <c r="R34">
        <v>1008.72</v>
      </c>
      <c r="S34" s="3">
        <f>SUM(R34*0.63)</f>
        <v>635.49360000000001</v>
      </c>
    </row>
    <row r="35" spans="1:19" x14ac:dyDescent="0.2">
      <c r="A35" s="5" t="s">
        <v>9</v>
      </c>
      <c r="B35" s="3">
        <v>183924.29</v>
      </c>
      <c r="D35" s="3">
        <v>23051.46</v>
      </c>
      <c r="F35" s="3">
        <v>40885.14</v>
      </c>
      <c r="H35" s="3">
        <v>0</v>
      </c>
      <c r="J35" s="3">
        <v>0</v>
      </c>
      <c r="L35" s="3">
        <v>12758.37</v>
      </c>
      <c r="N35" s="8">
        <f>SUM(F36/1998496.66)</f>
        <v>-1.8489217790336462E-2</v>
      </c>
      <c r="O35" s="1" t="s">
        <v>18</v>
      </c>
      <c r="P35">
        <v>247.1</v>
      </c>
      <c r="Q35" s="3">
        <f t="shared" si="0"/>
        <v>-4.5686857159921397</v>
      </c>
    </row>
    <row r="36" spans="1:19" x14ac:dyDescent="0.2">
      <c r="A36" s="1" t="s">
        <v>10</v>
      </c>
      <c r="B36" s="3">
        <f>SUM(B33+B34-B35)</f>
        <v>1202926.2999999998</v>
      </c>
      <c r="D36" s="3">
        <f>SUM(D33+D34-D35)</f>
        <v>456645.06999999995</v>
      </c>
      <c r="F36" s="3">
        <f>SUM(F33+F34-F35)</f>
        <v>-36950.639999999999</v>
      </c>
      <c r="H36" s="3">
        <f>SUM(H33+H34-H35)</f>
        <v>189059.66999999998</v>
      </c>
      <c r="J36" s="3">
        <f>SUM(J33+J34-J35)</f>
        <v>186816.26</v>
      </c>
      <c r="L36" s="3">
        <f>SUM(L33+L34-L35)</f>
        <v>15096.81</v>
      </c>
      <c r="N36" s="8">
        <f>SUM(H36/1998496.66)</f>
        <v>9.4600943691344475E-2</v>
      </c>
      <c r="O36" s="1" t="s">
        <v>19</v>
      </c>
      <c r="P36">
        <v>247.1</v>
      </c>
      <c r="Q36" s="3">
        <f t="shared" si="0"/>
        <v>23.375893186131218</v>
      </c>
    </row>
    <row r="37" spans="1:19" x14ac:dyDescent="0.2">
      <c r="A37" s="4">
        <v>40210</v>
      </c>
      <c r="N37" s="8">
        <f>SUM(J36/1998496.66)</f>
        <v>9.3478394905098322E-2</v>
      </c>
      <c r="O37" s="1" t="s">
        <v>20</v>
      </c>
      <c r="P37">
        <v>247.1</v>
      </c>
      <c r="Q37" s="3">
        <f t="shared" si="0"/>
        <v>23.098511381049796</v>
      </c>
      <c r="R37">
        <v>1008.72</v>
      </c>
      <c r="S37" s="3">
        <f>SUM(R37*0.03)</f>
        <v>30.261600000000001</v>
      </c>
    </row>
    <row r="38" spans="1:19" x14ac:dyDescent="0.2">
      <c r="A38" s="1" t="s">
        <v>7</v>
      </c>
      <c r="B38" s="3">
        <v>1202926.3</v>
      </c>
      <c r="D38" s="3">
        <v>456645.07</v>
      </c>
      <c r="F38" s="3">
        <v>-36950.639999999999</v>
      </c>
      <c r="H38" s="3">
        <v>189059.67</v>
      </c>
      <c r="J38" s="3">
        <v>186816.26</v>
      </c>
      <c r="L38" s="3">
        <v>15096.81</v>
      </c>
      <c r="N38" s="8">
        <f>SUM(B41/1908556.88)</f>
        <v>0.59086010053837112</v>
      </c>
      <c r="O38" s="1" t="s">
        <v>16</v>
      </c>
      <c r="P38">
        <v>226.53</v>
      </c>
      <c r="Q38" s="3">
        <f t="shared" si="0"/>
        <v>133.84753857495721</v>
      </c>
      <c r="R38">
        <v>150.22</v>
      </c>
      <c r="S38" s="3">
        <f>SUM(R38*0.34)</f>
        <v>51.074800000000003</v>
      </c>
    </row>
    <row r="39" spans="1:19" x14ac:dyDescent="0.2">
      <c r="A39" s="5" t="s">
        <v>8</v>
      </c>
      <c r="B39" s="3">
        <v>70428.91</v>
      </c>
      <c r="D39" s="3">
        <v>7067.68</v>
      </c>
      <c r="F39" s="3">
        <v>28816.14</v>
      </c>
      <c r="H39" s="3">
        <v>718.56</v>
      </c>
      <c r="J39" s="3">
        <v>2249.94</v>
      </c>
      <c r="L39" s="3">
        <v>14191.43</v>
      </c>
      <c r="N39" s="8">
        <f>SUM(D41/1908556.88)</f>
        <v>0.23677761178383114</v>
      </c>
      <c r="O39" s="1" t="s">
        <v>17</v>
      </c>
      <c r="P39">
        <v>226.53</v>
      </c>
      <c r="Q39" s="3">
        <f t="shared" si="0"/>
        <v>53.637232397391266</v>
      </c>
      <c r="R39">
        <v>150.22</v>
      </c>
      <c r="S39" s="3">
        <f>SUM(R39*0.63)</f>
        <v>94.638599999999997</v>
      </c>
    </row>
    <row r="40" spans="1:19" x14ac:dyDescent="0.2">
      <c r="A40" s="5" t="s">
        <v>9</v>
      </c>
      <c r="B40" s="3">
        <v>145665.1</v>
      </c>
      <c r="D40" s="3">
        <v>11809.21</v>
      </c>
      <c r="E40" s="3" t="s">
        <v>11</v>
      </c>
      <c r="F40" s="3">
        <v>41746.699999999997</v>
      </c>
      <c r="H40" s="3">
        <v>0</v>
      </c>
      <c r="J40" s="3">
        <v>0</v>
      </c>
      <c r="L40" s="3">
        <v>10056.44</v>
      </c>
      <c r="N40" s="8">
        <f>SUM(F41/1908556.88)</f>
        <v>-2.6135558506383105E-2</v>
      </c>
      <c r="O40" s="1" t="s">
        <v>18</v>
      </c>
      <c r="P40">
        <v>226.53</v>
      </c>
      <c r="Q40" s="3">
        <f t="shared" si="0"/>
        <v>-5.9204880684509646</v>
      </c>
    </row>
    <row r="41" spans="1:19" x14ac:dyDescent="0.2">
      <c r="A41" s="1" t="s">
        <v>10</v>
      </c>
      <c r="B41" s="3">
        <f>SUM(B38+B39-B40)</f>
        <v>1127690.1099999999</v>
      </c>
      <c r="D41" s="3">
        <f>SUM(D38+D39-D40)</f>
        <v>451903.54</v>
      </c>
      <c r="F41" s="3">
        <f>SUM(F38+F39-F40)</f>
        <v>-49881.2</v>
      </c>
      <c r="H41" s="3">
        <f>SUM(H38+H39-H40)</f>
        <v>189778.23</v>
      </c>
      <c r="J41" s="3">
        <f>SUM(J38+J39-J40)</f>
        <v>189066.2</v>
      </c>
      <c r="L41" s="3">
        <f>SUM(L38+L39-L40)</f>
        <v>19231.799999999996</v>
      </c>
      <c r="N41" s="8">
        <f>SUM(H41/1908556.88)</f>
        <v>9.9435459319399497E-2</v>
      </c>
      <c r="O41" s="1" t="s">
        <v>19</v>
      </c>
      <c r="P41">
        <v>226.53</v>
      </c>
      <c r="Q41" s="3">
        <f t="shared" si="0"/>
        <v>22.525114599623567</v>
      </c>
    </row>
    <row r="42" spans="1:19" x14ac:dyDescent="0.2">
      <c r="A42" s="4">
        <v>40238</v>
      </c>
      <c r="N42" s="8">
        <f>SUM(J41/1908556.88)</f>
        <v>9.9062386864781318E-2</v>
      </c>
      <c r="O42" s="1" t="s">
        <v>20</v>
      </c>
      <c r="P42">
        <v>226.53</v>
      </c>
      <c r="Q42" s="3">
        <f t="shared" si="0"/>
        <v>22.440602496478913</v>
      </c>
      <c r="R42">
        <v>150.22</v>
      </c>
      <c r="S42" s="3">
        <f>SUM(R42*0.03)</f>
        <v>4.5065999999999997</v>
      </c>
    </row>
    <row r="43" spans="1:19" x14ac:dyDescent="0.2">
      <c r="A43" s="1" t="s">
        <v>7</v>
      </c>
      <c r="B43" s="3">
        <v>1127690.1100000001</v>
      </c>
      <c r="D43" s="3">
        <v>451903.54</v>
      </c>
      <c r="F43" s="3">
        <v>-49881.2</v>
      </c>
      <c r="H43" s="3">
        <v>189778.23</v>
      </c>
      <c r="J43" s="3">
        <v>189066.2</v>
      </c>
      <c r="L43" s="3">
        <v>19231.8</v>
      </c>
      <c r="N43" s="8">
        <f>SUM(B46/1805648.23)</f>
        <v>0.57548144911924526</v>
      </c>
      <c r="O43" s="1" t="s">
        <v>16</v>
      </c>
      <c r="P43">
        <v>231.7</v>
      </c>
      <c r="Q43" s="3">
        <f t="shared" si="0"/>
        <v>133.33905176092912</v>
      </c>
      <c r="R43">
        <v>147.78</v>
      </c>
      <c r="S43" s="3">
        <f>SUM(R43*0.34)</f>
        <v>50.245200000000004</v>
      </c>
    </row>
    <row r="44" spans="1:19" x14ac:dyDescent="0.2">
      <c r="A44" s="5" t="s">
        <v>8</v>
      </c>
      <c r="B44" s="3">
        <v>109624.78</v>
      </c>
      <c r="D44" s="3">
        <v>8096.69</v>
      </c>
      <c r="F44" s="3">
        <v>24030.58</v>
      </c>
      <c r="H44" s="3">
        <v>812.96</v>
      </c>
      <c r="J44" s="3">
        <v>2524.7800000000002</v>
      </c>
      <c r="L44" s="3">
        <v>19420.23</v>
      </c>
      <c r="N44" s="8">
        <f>SUM(D46/1805648.23)</f>
        <v>0.25083160854647751</v>
      </c>
      <c r="O44" s="1" t="s">
        <v>17</v>
      </c>
      <c r="P44">
        <v>231.7</v>
      </c>
      <c r="Q44" s="3">
        <f t="shared" si="0"/>
        <v>58.117683700218834</v>
      </c>
      <c r="R44">
        <v>147.78</v>
      </c>
      <c r="S44" s="3">
        <f>SUM(R44*0.63)</f>
        <v>93.101399999999998</v>
      </c>
    </row>
    <row r="45" spans="1:19" x14ac:dyDescent="0.2">
      <c r="A45" s="5" t="s">
        <v>9</v>
      </c>
      <c r="B45" s="3">
        <v>198197.83</v>
      </c>
      <c r="D45" s="3">
        <v>7086.58</v>
      </c>
      <c r="F45" s="3">
        <v>42714.03</v>
      </c>
      <c r="H45" s="3">
        <v>0</v>
      </c>
      <c r="J45" s="3">
        <v>0</v>
      </c>
      <c r="L45" s="3">
        <v>17542.509999999998</v>
      </c>
      <c r="N45" s="8">
        <f>SUM(F46/1805648.23)</f>
        <v>-3.7972318672502448E-2</v>
      </c>
      <c r="O45" s="1" t="s">
        <v>18</v>
      </c>
      <c r="P45">
        <v>231.7</v>
      </c>
      <c r="Q45" s="3">
        <f t="shared" si="0"/>
        <v>-8.7981862364188164</v>
      </c>
    </row>
    <row r="46" spans="1:19" x14ac:dyDescent="0.2">
      <c r="A46" s="1" t="s">
        <v>10</v>
      </c>
      <c r="B46" s="3">
        <f>SUM(B43+B44-B45)</f>
        <v>1039117.0600000002</v>
      </c>
      <c r="D46" s="3">
        <f>SUM(D43+D44-D45)</f>
        <v>452913.64999999997</v>
      </c>
      <c r="F46" s="3">
        <f>SUM(F43+F44-F45)</f>
        <v>-68564.649999999994</v>
      </c>
      <c r="H46" s="3">
        <f>SUM(H43+H44-H45)</f>
        <v>190591.19</v>
      </c>
      <c r="J46" s="3">
        <f>SUM(J43+J44-J45)</f>
        <v>191590.98</v>
      </c>
      <c r="L46" s="3">
        <f>SUM(L43+L44-L45)</f>
        <v>21109.52</v>
      </c>
      <c r="N46" s="8">
        <f>SUM(H46/1805648.23)</f>
        <v>0.10555277979033602</v>
      </c>
      <c r="O46" s="1" t="s">
        <v>19</v>
      </c>
      <c r="P46">
        <v>231.7</v>
      </c>
      <c r="Q46" s="3">
        <f t="shared" si="0"/>
        <v>24.456579077420855</v>
      </c>
    </row>
    <row r="47" spans="1:19" x14ac:dyDescent="0.2">
      <c r="A47" s="4">
        <v>40269</v>
      </c>
      <c r="N47" s="8">
        <f>SUM(J46/1805648.23)</f>
        <v>0.10610648121644381</v>
      </c>
      <c r="O47" s="1" t="s">
        <v>20</v>
      </c>
      <c r="P47">
        <v>231.7</v>
      </c>
      <c r="Q47" s="3">
        <f t="shared" si="0"/>
        <v>24.58487169785003</v>
      </c>
      <c r="R47">
        <v>147.78</v>
      </c>
      <c r="S47" s="3">
        <f>SUM(R47*0.03)</f>
        <v>4.4333999999999998</v>
      </c>
    </row>
    <row r="48" spans="1:19" x14ac:dyDescent="0.2">
      <c r="A48" s="1" t="s">
        <v>7</v>
      </c>
      <c r="B48" s="3">
        <v>1039117.06</v>
      </c>
      <c r="D48" s="3">
        <v>452913.65</v>
      </c>
      <c r="F48" s="3">
        <v>-68564.649999999994</v>
      </c>
      <c r="H48" s="3">
        <v>190591.19</v>
      </c>
      <c r="J48" s="3">
        <v>191590.98</v>
      </c>
      <c r="L48" s="3">
        <v>21109.52</v>
      </c>
      <c r="N48" s="8">
        <f>SUM(B51/1752163.67)</f>
        <v>0.5747441447635997</v>
      </c>
      <c r="O48" s="1" t="s">
        <v>16</v>
      </c>
      <c r="P48">
        <v>211.17</v>
      </c>
      <c r="Q48" s="3">
        <f t="shared" si="0"/>
        <v>121.36872104972934</v>
      </c>
      <c r="R48">
        <v>111.44</v>
      </c>
      <c r="S48" s="3">
        <f>SUM(R48*0.34)</f>
        <v>37.889600000000002</v>
      </c>
    </row>
    <row r="49" spans="1:19" x14ac:dyDescent="0.2">
      <c r="A49" s="5" t="s">
        <v>8</v>
      </c>
      <c r="B49" s="3">
        <v>189160.87</v>
      </c>
      <c r="D49" s="3">
        <v>8887.23</v>
      </c>
      <c r="F49" s="3">
        <v>17564.14</v>
      </c>
      <c r="H49" s="3">
        <v>828.44</v>
      </c>
      <c r="J49" s="3">
        <v>2582.77</v>
      </c>
      <c r="L49" s="3">
        <v>20337.919999999998</v>
      </c>
      <c r="N49" s="8">
        <f>SUM(D51/1752163.67)</f>
        <v>0.28167761862109603</v>
      </c>
      <c r="O49" s="1" t="s">
        <v>17</v>
      </c>
      <c r="P49">
        <v>211.17</v>
      </c>
      <c r="Q49" s="3">
        <f t="shared" si="0"/>
        <v>59.481862724216846</v>
      </c>
      <c r="R49">
        <v>111.44</v>
      </c>
      <c r="S49" s="3">
        <f>SUM(R49*0.63)</f>
        <v>70.2072</v>
      </c>
    </row>
    <row r="50" spans="1:19" x14ac:dyDescent="0.2">
      <c r="A50" s="5" t="s">
        <v>9</v>
      </c>
      <c r="B50" s="3">
        <v>221232.12</v>
      </c>
      <c r="D50" s="3">
        <v>-31744.41</v>
      </c>
      <c r="F50" s="3">
        <v>43020.3</v>
      </c>
      <c r="H50" s="3">
        <v>40000</v>
      </c>
      <c r="J50" s="3">
        <v>0</v>
      </c>
      <c r="L50" s="3">
        <v>15714.69</v>
      </c>
      <c r="N50" s="8">
        <f>SUM(F51/1752163.67)</f>
        <v>-5.3659833045162954E-2</v>
      </c>
      <c r="O50" s="1" t="s">
        <v>18</v>
      </c>
      <c r="P50">
        <v>211.17</v>
      </c>
      <c r="Q50" s="3">
        <f t="shared" si="0"/>
        <v>-11.331346944147061</v>
      </c>
    </row>
    <row r="51" spans="1:19" x14ac:dyDescent="0.2">
      <c r="A51" s="1" t="s">
        <v>10</v>
      </c>
      <c r="B51" s="3">
        <f>SUM(B48+B49-B50)</f>
        <v>1007045.8100000002</v>
      </c>
      <c r="D51" s="3">
        <f>SUM(D48+D49-D50)</f>
        <v>493545.29</v>
      </c>
      <c r="F51" s="3">
        <f>SUM(F48+F49-F50)</f>
        <v>-94020.81</v>
      </c>
      <c r="H51" s="3">
        <f>SUM(H48+H49-H50)</f>
        <v>151419.63</v>
      </c>
      <c r="J51" s="3">
        <f>SUM(J48+J49-J50)</f>
        <v>194173.75</v>
      </c>
      <c r="L51" s="3">
        <f>SUM(L48+L49-L50)</f>
        <v>25732.75</v>
      </c>
      <c r="N51" s="8">
        <f>SUM(H51/1752163.67)</f>
        <v>8.6418656311941455E-2</v>
      </c>
      <c r="O51" s="1" t="s">
        <v>19</v>
      </c>
      <c r="P51">
        <v>211.17</v>
      </c>
      <c r="Q51" s="3">
        <f t="shared" si="0"/>
        <v>18.249027653392677</v>
      </c>
    </row>
    <row r="52" spans="1:19" x14ac:dyDescent="0.2">
      <c r="A52" s="4">
        <v>40299</v>
      </c>
      <c r="N52" s="8">
        <f>SUM(J51/1752163.67)</f>
        <v>0.11081941334852582</v>
      </c>
      <c r="O52" s="1" t="s">
        <v>20</v>
      </c>
      <c r="P52">
        <v>211.17</v>
      </c>
      <c r="Q52" s="3">
        <f t="shared" si="0"/>
        <v>23.401735516808198</v>
      </c>
      <c r="R52">
        <v>111.44</v>
      </c>
      <c r="S52" s="3">
        <f>SUM(R52*0.03)</f>
        <v>3.3431999999999999</v>
      </c>
    </row>
    <row r="53" spans="1:19" x14ac:dyDescent="0.2">
      <c r="A53" s="1" t="s">
        <v>7</v>
      </c>
      <c r="B53" s="3">
        <v>1007045.81</v>
      </c>
      <c r="D53" s="3">
        <v>493545.29</v>
      </c>
      <c r="F53" s="3">
        <v>-94020.81</v>
      </c>
      <c r="H53" s="3">
        <v>151419.63</v>
      </c>
      <c r="J53" s="3">
        <v>194173.75</v>
      </c>
      <c r="L53" s="3">
        <v>25732.75</v>
      </c>
      <c r="N53" s="8">
        <f>SUM(B56/2231728.18)</f>
        <v>0.55793565773767295</v>
      </c>
      <c r="O53" s="1" t="s">
        <v>16</v>
      </c>
      <c r="P53">
        <v>255.4</v>
      </c>
      <c r="Q53" s="3">
        <f t="shared" si="0"/>
        <v>142.49676698620166</v>
      </c>
      <c r="R53">
        <v>1035.4100000000001</v>
      </c>
      <c r="S53" s="3">
        <f>SUM(R53*0.34)</f>
        <v>352.03940000000006</v>
      </c>
    </row>
    <row r="54" spans="1:19" x14ac:dyDescent="0.2">
      <c r="A54" s="5" t="s">
        <v>8</v>
      </c>
      <c r="B54" s="3">
        <v>428769.76</v>
      </c>
      <c r="D54" s="3">
        <v>179469.85</v>
      </c>
      <c r="F54" s="3">
        <v>93430.25</v>
      </c>
      <c r="H54" s="3">
        <v>17947</v>
      </c>
      <c r="J54" s="3">
        <v>55635.66</v>
      </c>
      <c r="L54" s="3">
        <v>19112.14</v>
      </c>
      <c r="N54" s="8">
        <f>SUM(D56/2231728.18)</f>
        <v>0.27106857162147763</v>
      </c>
      <c r="O54" s="1" t="s">
        <v>17</v>
      </c>
      <c r="P54">
        <v>255.4</v>
      </c>
      <c r="Q54" s="3">
        <f t="shared" si="0"/>
        <v>69.230913192125385</v>
      </c>
      <c r="R54">
        <v>1035.4100000000001</v>
      </c>
      <c r="S54" s="3">
        <f>SUM(R54*0.63)</f>
        <v>652.30830000000003</v>
      </c>
    </row>
    <row r="55" spans="1:19" x14ac:dyDescent="0.2">
      <c r="A55" s="5" t="s">
        <v>9</v>
      </c>
      <c r="B55" s="3">
        <v>190654.84</v>
      </c>
      <c r="D55" s="3">
        <v>68063.77</v>
      </c>
      <c r="F55" s="3">
        <v>36969.4</v>
      </c>
      <c r="H55" s="3">
        <v>0</v>
      </c>
      <c r="J55" s="3">
        <v>0</v>
      </c>
      <c r="L55" s="3">
        <v>12740.28</v>
      </c>
      <c r="N55" s="8">
        <f>SUM(F56/2231728.18)</f>
        <v>-1.6829988677205303E-2</v>
      </c>
      <c r="O55" s="1" t="s">
        <v>18</v>
      </c>
      <c r="P55">
        <v>255.4</v>
      </c>
      <c r="Q55" s="3">
        <f t="shared" si="0"/>
        <v>-4.2983791081582341</v>
      </c>
    </row>
    <row r="56" spans="1:19" x14ac:dyDescent="0.2">
      <c r="A56" s="1" t="s">
        <v>10</v>
      </c>
      <c r="B56" s="3">
        <f>SUM(B53+B54-B55)</f>
        <v>1245160.73</v>
      </c>
      <c r="D56" s="3">
        <f>SUM(D53+D54-D55)</f>
        <v>604951.37</v>
      </c>
      <c r="F56" s="3">
        <f>SUM(F53+F54-F55)</f>
        <v>-37559.96</v>
      </c>
      <c r="H56" s="3">
        <f>SUM(H53+H54-H55)</f>
        <v>169366.63</v>
      </c>
      <c r="J56" s="3">
        <f>SUM(J53+J54-J55)</f>
        <v>249809.41</v>
      </c>
      <c r="L56" s="3">
        <f>SUM(L53+L54-L55)</f>
        <v>32104.61</v>
      </c>
      <c r="N56" s="8">
        <f>SUM(H56/2231728.18)</f>
        <v>7.5890348796868262E-2</v>
      </c>
      <c r="O56" s="1" t="s">
        <v>19</v>
      </c>
      <c r="P56">
        <v>255.4</v>
      </c>
      <c r="Q56" s="3">
        <f t="shared" si="0"/>
        <v>19.382395082720155</v>
      </c>
    </row>
    <row r="57" spans="1:19" x14ac:dyDescent="0.2">
      <c r="A57" s="4">
        <v>40330</v>
      </c>
      <c r="N57" s="8">
        <f>SUM(J56/2231728.18)</f>
        <v>0.11193541052118632</v>
      </c>
      <c r="O57" s="1" t="s">
        <v>20</v>
      </c>
      <c r="P57">
        <v>255.4</v>
      </c>
      <c r="Q57" s="3">
        <f t="shared" si="0"/>
        <v>28.588303847110986</v>
      </c>
      <c r="R57">
        <v>1035.4100000000001</v>
      </c>
      <c r="S57" s="3">
        <f>SUM(R57*0.03)</f>
        <v>31.0623</v>
      </c>
    </row>
    <row r="58" spans="1:19" x14ac:dyDescent="0.2">
      <c r="A58" s="1" t="s">
        <v>7</v>
      </c>
      <c r="B58" s="3">
        <v>1245160.73</v>
      </c>
      <c r="D58" s="3">
        <v>604951.37</v>
      </c>
      <c r="F58" s="3">
        <v>-37559.96</v>
      </c>
      <c r="H58" s="3">
        <v>169366.63</v>
      </c>
      <c r="J58" s="3">
        <v>249809.41</v>
      </c>
      <c r="L58" s="3">
        <v>32104.61</v>
      </c>
      <c r="N58" s="8">
        <f>SUM(B68/2276326.62)</f>
        <v>0.48672280166894505</v>
      </c>
      <c r="O58" s="1" t="s">
        <v>16</v>
      </c>
      <c r="P58">
        <v>290.3</v>
      </c>
      <c r="Q58" s="3">
        <f t="shared" si="0"/>
        <v>141.29562932449474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132930.31</v>
      </c>
      <c r="D59" s="3">
        <v>38222.949999999997</v>
      </c>
      <c r="F59" s="3">
        <v>131192.56</v>
      </c>
      <c r="H59" s="3">
        <v>3829.34</v>
      </c>
      <c r="J59" s="3">
        <v>11880.8</v>
      </c>
      <c r="L59" s="3">
        <v>7835.4</v>
      </c>
      <c r="N59" s="8">
        <f>SUM(D61/2276326.62)</f>
        <v>0.28006603902914418</v>
      </c>
      <c r="O59" s="1" t="s">
        <v>17</v>
      </c>
      <c r="P59">
        <v>290.3</v>
      </c>
      <c r="Q59" s="3">
        <f t="shared" si="0"/>
        <v>81.303171130160564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468597.73</v>
      </c>
      <c r="D60" s="3">
        <v>5652.54</v>
      </c>
      <c r="F60" s="3">
        <v>80918.59</v>
      </c>
      <c r="H60" s="3">
        <v>13382.5</v>
      </c>
      <c r="J60" s="3">
        <v>0</v>
      </c>
      <c r="L60" s="3">
        <v>23705.87</v>
      </c>
      <c r="N60" s="8">
        <f>SUM(F68/2276326.62)</f>
        <v>2.5121829836528473E-2</v>
      </c>
      <c r="O60" s="1" t="s">
        <v>18</v>
      </c>
      <c r="P60">
        <v>290.3</v>
      </c>
      <c r="Q60" s="3">
        <f t="shared" si="0"/>
        <v>7.2928672015442162</v>
      </c>
    </row>
    <row r="61" spans="1:19" x14ac:dyDescent="0.2">
      <c r="A61" s="1" t="s">
        <v>10</v>
      </c>
      <c r="B61" s="3">
        <f>SUM(B58+B59-B60)</f>
        <v>909493.31</v>
      </c>
      <c r="D61" s="3">
        <f>SUM(D58+D59-D60)</f>
        <v>637521.77999999991</v>
      </c>
      <c r="F61" s="3">
        <f>SUM(F58+F59-F60)</f>
        <v>12714.010000000009</v>
      </c>
      <c r="H61" s="3">
        <f>SUM(H58+H59-H60)</f>
        <v>159813.47</v>
      </c>
      <c r="J61" s="3">
        <f>SUM(J58+J59-J60)</f>
        <v>261690.21</v>
      </c>
      <c r="L61" s="3">
        <f>SUM(L58+L59-L60)</f>
        <v>16234.140000000003</v>
      </c>
      <c r="N61" s="8">
        <f>SUM(H61/2276326.62)</f>
        <v>7.020673948802654E-2</v>
      </c>
      <c r="O61" s="1" t="s">
        <v>19</v>
      </c>
      <c r="P61">
        <v>290.3</v>
      </c>
      <c r="Q61" s="3">
        <f t="shared" si="0"/>
        <v>20.381016473374107</v>
      </c>
    </row>
    <row r="62" spans="1:19" x14ac:dyDescent="0.2">
      <c r="A62" s="5" t="s">
        <v>26</v>
      </c>
      <c r="B62" s="3">
        <v>242796.7</v>
      </c>
      <c r="F62" s="3">
        <v>50204.93</v>
      </c>
      <c r="L62" s="3">
        <v>10755.12</v>
      </c>
      <c r="N62" s="8">
        <f>SUM(J61/2276326.62)</f>
        <v>0.11496162620107653</v>
      </c>
      <c r="O62" s="1" t="s">
        <v>20</v>
      </c>
      <c r="P62">
        <v>290.3</v>
      </c>
      <c r="Q62" s="3">
        <f t="shared" si="0"/>
        <v>33.373360086172518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-45049.94</v>
      </c>
      <c r="D63" s="3">
        <v>0</v>
      </c>
      <c r="F63" s="3">
        <v>-5733.45</v>
      </c>
      <c r="L63" s="3">
        <v>0</v>
      </c>
    </row>
    <row r="64" spans="1:19" x14ac:dyDescent="0.2">
      <c r="A64" s="5" t="s">
        <v>32</v>
      </c>
      <c r="B64" s="3">
        <v>700</v>
      </c>
      <c r="F64" s="3">
        <v>0</v>
      </c>
    </row>
    <row r="65" spans="1:20" x14ac:dyDescent="0.2">
      <c r="A65" s="5" t="s">
        <v>29</v>
      </c>
      <c r="L65" s="3">
        <v>0</v>
      </c>
    </row>
    <row r="66" spans="1:20" x14ac:dyDescent="0.2">
      <c r="A66" s="5" t="s">
        <v>30</v>
      </c>
      <c r="B66" s="3">
        <v>0</v>
      </c>
      <c r="H66" s="3">
        <v>0</v>
      </c>
    </row>
    <row r="67" spans="1:20" x14ac:dyDescent="0.2">
      <c r="A67" s="5" t="s">
        <v>31</v>
      </c>
      <c r="B67" s="3">
        <v>0</v>
      </c>
    </row>
    <row r="68" spans="1:20" x14ac:dyDescent="0.2">
      <c r="A68" s="1" t="s">
        <v>15</v>
      </c>
      <c r="B68" s="3">
        <f>SUM(B61+B62+B63+B64+B65-B66-B67)</f>
        <v>1107940.07</v>
      </c>
      <c r="D68" s="3">
        <f t="shared" ref="D68:L68" si="1">SUM(D61+D62+D63+D64+D65-D66-D67)</f>
        <v>637521.77999999991</v>
      </c>
      <c r="E68" s="3" t="s">
        <v>11</v>
      </c>
      <c r="F68" s="3">
        <f t="shared" si="1"/>
        <v>57185.490000000013</v>
      </c>
      <c r="G68" s="3">
        <f t="shared" si="1"/>
        <v>0</v>
      </c>
      <c r="H68" s="3">
        <f t="shared" si="1"/>
        <v>159813.47</v>
      </c>
      <c r="I68" s="3">
        <f t="shared" si="1"/>
        <v>0</v>
      </c>
      <c r="J68" s="3">
        <f t="shared" si="1"/>
        <v>261690.21</v>
      </c>
      <c r="K68" s="3">
        <f t="shared" si="1"/>
        <v>0</v>
      </c>
      <c r="L68" s="3">
        <f t="shared" si="1"/>
        <v>26989.260000000002</v>
      </c>
      <c r="O68" s="1" t="s">
        <v>16</v>
      </c>
      <c r="Q68" s="2">
        <f>SUM(Q3,Q8,Q13,Q18,Q23,Q28,Q33,Q38,Q43,Q48,Q53,Q58)</f>
        <v>2007.6247741835341</v>
      </c>
      <c r="S68" s="2">
        <f>SUM(S3,S8,S13,S18,S23,S28,S33,S38,S43,S48,S53,S58)</f>
        <v>2919.0088000000001</v>
      </c>
      <c r="T68" s="2">
        <f>SUM(Q68+S68+(Q70*0.4))</f>
        <v>4914.1131599553855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859.46430488488181</v>
      </c>
      <c r="S69" s="2">
        <f>SUM(S4,S9,S14,S19,S24,S29,S34,S39,S44,S49,S54,S59)</f>
        <v>5408.7516000000005</v>
      </c>
      <c r="T69" s="2">
        <f>SUM(Q69+S69+(Q70*0.35))</f>
        <v>6257.2605424352532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-31.301035570370491</v>
      </c>
      <c r="S70" s="2"/>
    </row>
    <row r="71" spans="1:20" x14ac:dyDescent="0.2">
      <c r="A71" s="1" t="s">
        <v>11</v>
      </c>
      <c r="B71" s="3">
        <f>SUM(B5,B10,B15,B20,B25,B30,B35,B40,B45,B50,B55,B60)</f>
        <v>2617242.5499999998</v>
      </c>
      <c r="D71" s="3">
        <f>SUM(D5,D10,D15,D20,D25,D30,D35,D40,D45,D50,D55,D60)</f>
        <v>345962.93000000005</v>
      </c>
      <c r="F71" s="3">
        <f>SUM(F5,F10,F15,F20,F25,F30,F35,F40,F45,F50,F55,F60)</f>
        <v>530741.67000000004</v>
      </c>
      <c r="H71" s="3">
        <f>SUM(H5,H10,H15,H20,H25,H30,H35,H40,H45,H50,H55,H60)</f>
        <v>68776.429999999993</v>
      </c>
      <c r="J71" s="3">
        <f>SUM(J5,J10,J15,J20,J25,J30,J35,J40,J45,J50,J55,J60)</f>
        <v>146786.25</v>
      </c>
      <c r="L71" s="3">
        <f>SUM(L5,L10,L15,L20,L25,L30,L35,L40,L45,L50,L55,L60)</f>
        <v>163806.63999999998</v>
      </c>
      <c r="O71" s="1" t="s">
        <v>19</v>
      </c>
      <c r="Q71" s="2">
        <f>SUM(Q6,Q11,Q16,Q21,Q26,Q31,Q36,Q41,Q46,Q51,Q56,Q61)</f>
        <v>323.87518905043453</v>
      </c>
      <c r="S71" s="2"/>
      <c r="T71" s="2">
        <f>SUM(Q71+(Q70*0.125))</f>
        <v>319.96255960413822</v>
      </c>
    </row>
    <row r="72" spans="1:20" x14ac:dyDescent="0.2">
      <c r="A72" s="1" t="s">
        <v>11</v>
      </c>
      <c r="B72" s="15">
        <f>SUM(B68/B71)</f>
        <v>0.42332342105625637</v>
      </c>
      <c r="D72" s="15">
        <f>SUM(D68/D71)</f>
        <v>1.8427459265650219</v>
      </c>
      <c r="F72" s="15">
        <f>SUM(F68/F71)</f>
        <v>0.10774637310840886</v>
      </c>
      <c r="H72" s="15">
        <f>SUM(H68/H71)</f>
        <v>2.3236662618283619</v>
      </c>
      <c r="J72" s="15">
        <f>SUM(J68/J71)</f>
        <v>1.7827978438034897</v>
      </c>
      <c r="L72" s="15">
        <f>SUM(L68/L71)</f>
        <v>0.16476291803555707</v>
      </c>
      <c r="O72" s="1" t="s">
        <v>20</v>
      </c>
      <c r="Q72" s="2">
        <f>SUM(Q37,Q7,Q12,Q17,Q22,Q27,Q32,Q42,Q47,Q52,Q57,Q62)</f>
        <v>311.65281166726669</v>
      </c>
      <c r="S72" s="2">
        <f>SUM(S7,S12,S17,S22,S27,S32,S37,S42,S47,S52,S57,S62)</f>
        <v>257.55899999999997</v>
      </c>
      <c r="T72" s="2">
        <f>SUM(Q72+S72+(Q70*0.125))</f>
        <v>565.29918222097024</v>
      </c>
    </row>
    <row r="73" spans="1:20" x14ac:dyDescent="0.2">
      <c r="A73" s="1" t="s">
        <v>11</v>
      </c>
      <c r="B73" s="3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/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s="1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  <row r="78" spans="1:20" x14ac:dyDescent="0.2">
      <c r="A78" t="s">
        <v>11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FUND BALANCE 17-18</vt:lpstr>
      <vt:lpstr>FUND BALANCE 16-17</vt:lpstr>
      <vt:lpstr>FUND BALANCE 15-16</vt:lpstr>
      <vt:lpstr>FUND BALANCE 14-15</vt:lpstr>
      <vt:lpstr>FUND BALANCE 13-14</vt:lpstr>
      <vt:lpstr>FUND BALANCE 12-13</vt:lpstr>
      <vt:lpstr>FUND BALANCE 11-12</vt:lpstr>
      <vt:lpstr>FUND BALANCE 10-11</vt:lpstr>
      <vt:lpstr>FUND BALANCE 09-10</vt:lpstr>
      <vt:lpstr>FUND BALANCE 08-09</vt:lpstr>
      <vt:lpstr>FUND BALANCE 07-08</vt:lpstr>
      <vt:lpstr>DATA </vt:lpstr>
      <vt:lpstr>GRAPHS</vt:lpstr>
    </vt:vector>
  </TitlesOfParts>
  <Company>Elkton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MissBruns</dc:creator>
  <cp:lastModifiedBy>moe.bruns</cp:lastModifiedBy>
  <cp:lastPrinted>2017-05-05T19:22:37Z</cp:lastPrinted>
  <dcterms:created xsi:type="dcterms:W3CDTF">2007-12-03T15:54:26Z</dcterms:created>
  <dcterms:modified xsi:type="dcterms:W3CDTF">2017-10-05T20:50:32Z</dcterms:modified>
</cp:coreProperties>
</file>